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710" activeTab="0"/>
  </bookViews>
  <sheets>
    <sheet name="Rentabilidad" sheetId="1" r:id="rId1"/>
    <sheet name="Tabla de Amortización" sheetId="2" r:id="rId2"/>
  </sheets>
  <definedNames>
    <definedName name="Cantidad_Prestada" localSheetId="1">'Tabla de Amortización'!$C$15</definedName>
    <definedName name="Capital" localSheetId="1">IF('Tabla de Amortización'!IS1&lt;&gt;"",MIN('Tabla de Amortización'!IU1,'Tabla de Amortización'!Pago_Usar-'Tabla de Amortización'!IV1),"")</definedName>
    <definedName name="Interés" localSheetId="1">IF('Tabla de Amortización'!IT1&lt;&gt;"",'Tabla de Amortización'!IV1*Tasa_Periódica,"")</definedName>
    <definedName name="Interés.Acum" localSheetId="1">IF('Tabla de Amortización'!IQ1&lt;&gt;"",'Tabla de Amortización'!A65536+'Tabla de Amortización'!IT1,"")</definedName>
    <definedName name="Interés_acumulado_antes_del_pago_1" localSheetId="1">'Tabla de Amortización'!$G$25</definedName>
    <definedName name="Pago_Usar" localSheetId="1">'Tabla de Amortización'!$C$24</definedName>
    <definedName name="Pagos_por_año" localSheetId="1">'Tabla de Amortización'!$C$18</definedName>
    <definedName name="Plazo_años" localSheetId="1">'Tabla de Amortización'!$C$17</definedName>
    <definedName name="Primer_pago">'Tabla de Amortización'!$C$19</definedName>
    <definedName name="Primer_pago_en_la_tabla" localSheetId="1">'Tabla de Amortización'!$C$25</definedName>
    <definedName name="Saldo.Final" localSheetId="1">IF('Tabla de Amortización'!IR1&lt;&gt;"",'Tabla de Amortización'!IT1-'Tabla de Amortización'!IV1,"")</definedName>
    <definedName name="Saldo.Inicial" localSheetId="1">IF('Tabla de Amortización'!IU1&lt;&gt;"",'Tabla de Amortización'!D65536,"")</definedName>
    <definedName name="Saldo_Inicial_Pago_1" localSheetId="1">'Tabla de Amortización'!$G$24</definedName>
    <definedName name="Tasa_Interés_Anual" localSheetId="1">'Tabla de Amortización'!$C$16</definedName>
    <definedName name="Tasa_Periódica">'Tabla de Amortización'!$C$16/12</definedName>
    <definedName name="Total_Pagos" localSheetId="1">'Tabla de Amortización'!Pagos_por_año*'Tabla de Amortización'!Plazo_años</definedName>
  </definedNames>
  <calcPr fullCalcOnLoad="1"/>
</workbook>
</file>

<file path=xl/sharedStrings.xml><?xml version="1.0" encoding="utf-8"?>
<sst xmlns="http://schemas.openxmlformats.org/spreadsheetml/2006/main" count="73" uniqueCount="61">
  <si>
    <t>Capital</t>
  </si>
  <si>
    <t>Flujo</t>
  </si>
  <si>
    <t>Tasa Dto:</t>
  </si>
  <si>
    <t>VAN =</t>
  </si>
  <si>
    <t>VA =</t>
  </si>
  <si>
    <t>Tabla de amortización</t>
  </si>
  <si>
    <t xml:space="preserve">La tabla de amortización ubicada al final de esta hoja de cálculo calcula los pagos de interés y capital, </t>
  </si>
  <si>
    <t xml:space="preserve">el saldo final y el interés acumulado para cualquiera de los 48 pagos consecutivos de un préstamo. </t>
  </si>
  <si>
    <r>
      <t>u</t>
    </r>
    <r>
      <rPr>
        <sz val="9"/>
        <rFont val="Arial"/>
        <family val="2"/>
      </rPr>
      <t xml:space="preserve"> Para usar la tabla, cambie los valores de la sección Valores iniciales de la hoja de cálculo. </t>
    </r>
  </si>
  <si>
    <r>
      <t>u</t>
    </r>
    <r>
      <rPr>
        <sz val="9"/>
        <rFont val="Arial"/>
        <family val="2"/>
      </rPr>
      <t xml:space="preserve"> Para imprimir la tabla, elija </t>
    </r>
    <r>
      <rPr>
        <b/>
        <sz val="9"/>
        <rFont val="Arial"/>
        <family val="0"/>
      </rPr>
      <t>Imprimir</t>
    </r>
    <r>
      <rPr>
        <sz val="9"/>
        <rFont val="Arial"/>
        <family val="2"/>
      </rPr>
      <t xml:space="preserve"> en el menú </t>
    </r>
    <r>
      <rPr>
        <b/>
        <sz val="9"/>
        <rFont val="Arial"/>
        <family val="0"/>
      </rPr>
      <t>Archivo.</t>
    </r>
    <r>
      <rPr>
        <sz val="9"/>
        <rFont val="Arial"/>
        <family val="2"/>
      </rPr>
      <t xml:space="preserve"> El área de impresión asignada es  A1:G78.</t>
    </r>
  </si>
  <si>
    <r>
      <t>u</t>
    </r>
    <r>
      <rPr>
        <sz val="9"/>
        <rFont val="Arial"/>
        <family val="2"/>
      </rPr>
      <t xml:space="preserve">  Si aumenta el plazo del préstamo o el número de pagos, será necesario aumentar el número de períodos</t>
    </r>
  </si>
  <si>
    <r>
      <t xml:space="preserve">      de pago de la tabla . Seleccione las celdas A76:G78, luego arrastre el cuadro de llenado (</t>
    </r>
    <r>
      <rPr>
        <b/>
        <sz val="10"/>
        <rFont val="Arial"/>
        <family val="2"/>
      </rPr>
      <t>+</t>
    </r>
    <r>
      <rPr>
        <sz val="9"/>
        <rFont val="Arial"/>
        <family val="2"/>
      </rPr>
      <t>) en las celdas</t>
    </r>
  </si>
  <si>
    <t xml:space="preserve">      que están debajo de la tabla. </t>
  </si>
  <si>
    <r>
      <t>u</t>
    </r>
    <r>
      <rPr>
        <sz val="9"/>
        <rFont val="Arial"/>
        <family val="2"/>
      </rPr>
      <t xml:space="preserve"> La mayoría de las fórmulas de esta hoja de cálculo están contenidas en nombres definidos. Para ver </t>
    </r>
  </si>
  <si>
    <r>
      <t xml:space="preserve">     los nombres y fórmulas elija </t>
    </r>
    <r>
      <rPr>
        <b/>
        <sz val="9"/>
        <rFont val="Arial"/>
        <family val="0"/>
      </rPr>
      <t>Nombre</t>
    </r>
    <r>
      <rPr>
        <sz val="9"/>
        <rFont val="Arial"/>
        <family val="2"/>
      </rPr>
      <t xml:space="preserve"> en el menú </t>
    </r>
    <r>
      <rPr>
        <b/>
        <sz val="9"/>
        <rFont val="Arial"/>
        <family val="0"/>
      </rPr>
      <t>Insertar</t>
    </r>
    <r>
      <rPr>
        <sz val="9"/>
        <rFont val="Arial"/>
        <family val="2"/>
      </rPr>
      <t xml:space="preserve"> y luego elija </t>
    </r>
    <r>
      <rPr>
        <b/>
        <sz val="9"/>
        <rFont val="Arial"/>
        <family val="0"/>
      </rPr>
      <t>Definir.</t>
    </r>
    <r>
      <rPr>
        <sz val="9"/>
        <rFont val="Arial"/>
        <family val="2"/>
      </rPr>
      <t xml:space="preserve"> Seleccione un nombre de  </t>
    </r>
  </si>
  <si>
    <t xml:space="preserve">     la lista ('Tabla de Amortización'!Interés, por ejemplo).</t>
  </si>
  <si>
    <t>Datos iniciales</t>
  </si>
  <si>
    <t>Datos del préstamo</t>
  </si>
  <si>
    <t>Datos de la tabla</t>
  </si>
  <si>
    <t>Cantidad prestada:</t>
  </si>
  <si>
    <t>La tabla se inicia en la fecha:</t>
  </si>
  <si>
    <t>Tasa de interés anual :</t>
  </si>
  <si>
    <t>o el pago número:</t>
  </si>
  <si>
    <t>Plazo en años:</t>
  </si>
  <si>
    <t>Pagos por año:</t>
  </si>
  <si>
    <t>Total Piso</t>
  </si>
  <si>
    <t>Entrada</t>
  </si>
  <si>
    <t>Fecha del primer pago:</t>
  </si>
  <si>
    <t>PAGO PERIÓDICO</t>
  </si>
  <si>
    <t>Pago introducido:</t>
  </si>
  <si>
    <t xml:space="preserve">La tabla usa el pago periódico calculado, a menos </t>
  </si>
  <si>
    <t>Pago calculado:</t>
  </si>
  <si>
    <t xml:space="preserve"> que introduzca un valor en "Pago introducido."         </t>
  </si>
  <si>
    <t>CÁLCULOS</t>
  </si>
  <si>
    <t>Usar pago de :</t>
  </si>
  <si>
    <t>Primer pago en la tabla:</t>
  </si>
  <si>
    <t>Tabla</t>
  </si>
  <si>
    <t>Fecha de</t>
  </si>
  <si>
    <t>Saldo</t>
  </si>
  <si>
    <t>Interés</t>
  </si>
  <si>
    <t>No.</t>
  </si>
  <si>
    <t>pago</t>
  </si>
  <si>
    <t>inicial</t>
  </si>
  <si>
    <t>final</t>
  </si>
  <si>
    <t>acumulado</t>
  </si>
  <si>
    <t>Letra mes</t>
  </si>
  <si>
    <t>Letra año</t>
  </si>
  <si>
    <t>Cálculo a 30 años</t>
  </si>
  <si>
    <t>Préstamo</t>
  </si>
  <si>
    <t>Impuestos</t>
  </si>
  <si>
    <t>Interés total: 5%</t>
  </si>
  <si>
    <t>Interés Total: 4,75%</t>
  </si>
  <si>
    <t>(nos cuesta en € de hoy)</t>
  </si>
  <si>
    <t>(inflación)(*)</t>
  </si>
  <si>
    <t>(*) Al mantenerse las cuotas mensuales/anuales fijas, y tratarse de un pago, podemos asumir que, al menos, le estamos ganando la inflación (asumiendo que nuestro poder</t>
  </si>
  <si>
    <t>adquisitivo aumenta o que el valor del dinero disminuye en esa misma proporción). Puesto que eso es lo que le vamos a ganar a las letras</t>
  </si>
  <si>
    <t>lo utilizo como tasa para calcular el valor actual.</t>
  </si>
  <si>
    <t>Cantidad total:</t>
  </si>
  <si>
    <t>Cantidad Total:</t>
  </si>
  <si>
    <t>Cálculo a 30 años (con imposición/novación)</t>
  </si>
  <si>
    <t xml:space="preserve">Ahorro (Opción 2 frente a Opción 1):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</si>
</sst>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%"/>
    <numFmt numFmtId="181" formatCode="0.000000"/>
    <numFmt numFmtId="182" formatCode="0.00000"/>
    <numFmt numFmtId="183" formatCode="#,##0.0\ &quot;€&quot;;[Red]\-#,##0.0\ &quot;€&quot;"/>
    <numFmt numFmtId="184" formatCode="#,##0.000\ &quot;€&quot;;[Red]\-#,##0.000\ &quot;€&quot;"/>
    <numFmt numFmtId="185" formatCode="0.0"/>
    <numFmt numFmtId="186" formatCode="0.000"/>
    <numFmt numFmtId="187" formatCode="0.0000"/>
    <numFmt numFmtId="188" formatCode="0.000%"/>
    <numFmt numFmtId="189" formatCode="0.0000%"/>
    <numFmt numFmtId="190" formatCode="_-* #,##0.00\ [$€]_-;\-* #,##0.00\ [$€]_-;_-* &quot;-&quot;??\ [$€]_-;_-@_-"/>
    <numFmt numFmtId="191" formatCode="&quot;$&quot;#,##0.00;\-&quot;$&quot;#,##0.00"/>
    <numFmt numFmtId="192" formatCode="#,##0\ &quot;Pts&quot;"/>
    <numFmt numFmtId="193" formatCode="_-* #,##0.000\ _P_t_s_-;\-* #,##0.000\ _P_t_s_-;_-* &quot;-&quot;??\ _P_t_s_-;_-@_-"/>
    <numFmt numFmtId="194" formatCode="0.0000000"/>
    <numFmt numFmtId="195" formatCode="0.00000000"/>
    <numFmt numFmtId="196" formatCode="0.000000000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22"/>
      <color indexed="9"/>
      <name val="Times New Roman"/>
      <family val="1"/>
    </font>
    <font>
      <sz val="20"/>
      <name val="Arial"/>
      <family val="0"/>
    </font>
    <font>
      <sz val="9"/>
      <color indexed="9"/>
      <name val="Arial"/>
      <family val="2"/>
    </font>
    <font>
      <sz val="9"/>
      <name val="Arial"/>
      <family val="2"/>
    </font>
    <font>
      <sz val="8"/>
      <color indexed="39"/>
      <name val="Wingdings"/>
      <family val="0"/>
    </font>
    <font>
      <b/>
      <sz val="9"/>
      <name val="Arial"/>
      <family val="0"/>
    </font>
    <font>
      <b/>
      <sz val="14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Geneva"/>
      <family val="0"/>
    </font>
    <font>
      <b/>
      <sz val="10"/>
      <color indexed="11"/>
      <name val="Geneva"/>
      <family val="0"/>
    </font>
    <font>
      <sz val="9"/>
      <name val="Geneva"/>
      <family val="0"/>
    </font>
    <font>
      <b/>
      <sz val="10"/>
      <color indexed="9"/>
      <name val="Arial"/>
      <family val="2"/>
    </font>
    <font>
      <b/>
      <sz val="8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2" fontId="2" fillId="0" borderId="1" xfId="0" applyNumberFormat="1" applyFont="1" applyBorder="1" applyAlignment="1">
      <alignment/>
    </xf>
    <xf numFmtId="10" fontId="2" fillId="0" borderId="1" xfId="21" applyNumberFormat="1" applyFont="1" applyBorder="1" applyAlignment="1">
      <alignment/>
    </xf>
    <xf numFmtId="8" fontId="2" fillId="0" borderId="1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Fill="1" applyBorder="1" applyAlignment="1">
      <alignment/>
    </xf>
    <xf numFmtId="10" fontId="2" fillId="0" borderId="0" xfId="21" applyNumberFormat="1" applyFont="1" applyBorder="1" applyAlignment="1">
      <alignment/>
    </xf>
    <xf numFmtId="8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2" fontId="3" fillId="0" borderId="1" xfId="0" applyNumberFormat="1" applyFont="1" applyBorder="1" applyAlignment="1">
      <alignment/>
    </xf>
    <xf numFmtId="0" fontId="4" fillId="2" borderId="0" xfId="20" applyFont="1" applyFill="1">
      <alignment/>
      <protection/>
    </xf>
    <xf numFmtId="0" fontId="6" fillId="2" borderId="0" xfId="20" applyFont="1" applyFill="1">
      <alignment/>
      <protection/>
    </xf>
    <xf numFmtId="0" fontId="7" fillId="0" borderId="0" xfId="20" applyFont="1">
      <alignment/>
      <protection/>
    </xf>
    <xf numFmtId="0" fontId="8" fillId="0" borderId="0" xfId="20" applyFont="1">
      <alignment/>
      <protection/>
    </xf>
    <xf numFmtId="0" fontId="8" fillId="0" borderId="0" xfId="20" applyFont="1" applyAlignment="1">
      <alignment/>
      <protection/>
    </xf>
    <xf numFmtId="0" fontId="7" fillId="0" borderId="0" xfId="20" applyFont="1" applyAlignment="1">
      <alignment horizontal="left"/>
      <protection/>
    </xf>
    <xf numFmtId="0" fontId="7" fillId="0" borderId="0" xfId="20" applyFont="1" applyAlignment="1">
      <alignment/>
      <protection/>
    </xf>
    <xf numFmtId="0" fontId="10" fillId="3" borderId="0" xfId="20" applyFont="1" applyFill="1">
      <alignment/>
      <protection/>
    </xf>
    <xf numFmtId="190" fontId="9" fillId="4" borderId="5" xfId="15" applyFont="1" applyFill="1" applyBorder="1" applyAlignment="1">
      <alignment/>
    </xf>
    <xf numFmtId="0" fontId="11" fillId="3" borderId="0" xfId="20" applyFont="1" applyFill="1">
      <alignment/>
      <protection/>
    </xf>
    <xf numFmtId="0" fontId="9" fillId="0" borderId="6" xfId="20" applyFont="1" applyFill="1" applyBorder="1">
      <alignment/>
      <protection/>
    </xf>
    <xf numFmtId="0" fontId="7" fillId="0" borderId="6" xfId="20" applyFont="1" applyFill="1" applyBorder="1" applyAlignment="1">
      <alignment horizontal="right"/>
      <protection/>
    </xf>
    <xf numFmtId="191" fontId="12" fillId="0" borderId="6" xfId="20" applyNumberFormat="1" applyFont="1" applyFill="1" applyBorder="1" applyAlignment="1">
      <alignment horizontal="left"/>
      <protection/>
    </xf>
    <xf numFmtId="0" fontId="7" fillId="0" borderId="6" xfId="20" applyFont="1" applyFill="1" applyBorder="1">
      <alignment/>
      <protection/>
    </xf>
    <xf numFmtId="0" fontId="7" fillId="0" borderId="0" xfId="20" applyFont="1" applyAlignment="1">
      <alignment horizontal="right"/>
      <protection/>
    </xf>
    <xf numFmtId="14" fontId="7" fillId="4" borderId="5" xfId="20" applyNumberFormat="1" applyFont="1" applyFill="1" applyBorder="1" applyAlignment="1">
      <alignment horizontal="left"/>
      <protection/>
    </xf>
    <xf numFmtId="10" fontId="9" fillId="4" borderId="5" xfId="20" applyNumberFormat="1" applyFont="1" applyFill="1" applyBorder="1" applyAlignment="1">
      <alignment horizontal="left"/>
      <protection/>
    </xf>
    <xf numFmtId="0" fontId="9" fillId="4" borderId="5" xfId="20" applyFont="1" applyFill="1" applyBorder="1" applyAlignment="1">
      <alignment horizontal="left"/>
      <protection/>
    </xf>
    <xf numFmtId="14" fontId="9" fillId="4" borderId="5" xfId="20" applyNumberFormat="1" applyFont="1" applyFill="1" applyBorder="1" applyAlignment="1">
      <alignment horizontal="left"/>
      <protection/>
    </xf>
    <xf numFmtId="191" fontId="13" fillId="4" borderId="0" xfId="20" applyNumberFormat="1" applyFont="1" applyFill="1">
      <alignment/>
      <protection/>
    </xf>
    <xf numFmtId="0" fontId="7" fillId="0" borderId="0" xfId="20" applyFont="1" applyAlignment="1">
      <alignment horizontal="centerContinuous"/>
      <protection/>
    </xf>
    <xf numFmtId="0" fontId="7" fillId="0" borderId="0" xfId="20" applyFont="1" applyAlignment="1">
      <alignment horizontal="centerContinuous" vertical="top"/>
      <protection/>
    </xf>
    <xf numFmtId="0" fontId="9" fillId="4" borderId="0" xfId="20" applyFont="1" applyFill="1" applyAlignment="1">
      <alignment horizontal="left"/>
      <protection/>
    </xf>
    <xf numFmtId="0" fontId="7" fillId="0" borderId="0" xfId="20" applyFont="1" applyAlignment="1">
      <alignment horizontal="right"/>
      <protection/>
    </xf>
    <xf numFmtId="0" fontId="7" fillId="0" borderId="0" xfId="20" applyFont="1" applyAlignment="1">
      <alignment horizontal="left"/>
      <protection/>
    </xf>
    <xf numFmtId="0" fontId="7" fillId="0" borderId="0" xfId="20" applyFont="1">
      <alignment/>
      <protection/>
    </xf>
    <xf numFmtId="4" fontId="14" fillId="0" borderId="0" xfId="20" applyNumberFormat="1" applyFont="1">
      <alignment/>
      <protection/>
    </xf>
    <xf numFmtId="0" fontId="15" fillId="3" borderId="0" xfId="20" applyFont="1" applyFill="1">
      <alignment/>
      <protection/>
    </xf>
    <xf numFmtId="0" fontId="9" fillId="0" borderId="7" xfId="20" applyFont="1" applyFill="1" applyBorder="1" applyAlignment="1">
      <alignment horizontal="center"/>
      <protection/>
    </xf>
    <xf numFmtId="0" fontId="9" fillId="0" borderId="4" xfId="20" applyFont="1" applyFill="1" applyBorder="1" applyAlignment="1">
      <alignment horizontal="center"/>
      <protection/>
    </xf>
    <xf numFmtId="0" fontId="7" fillId="0" borderId="3" xfId="20" applyFont="1" applyBorder="1" applyAlignment="1">
      <alignment horizontal="center"/>
      <protection/>
    </xf>
    <xf numFmtId="14" fontId="7" fillId="0" borderId="3" xfId="20" applyNumberFormat="1" applyFont="1" applyBorder="1" applyAlignment="1">
      <alignment horizontal="center"/>
      <protection/>
    </xf>
    <xf numFmtId="4" fontId="7" fillId="0" borderId="3" xfId="20" applyNumberFormat="1" applyFont="1" applyBorder="1" applyAlignment="1">
      <alignment horizontal="center"/>
      <protection/>
    </xf>
    <xf numFmtId="190" fontId="9" fillId="4" borderId="0" xfId="15" applyFont="1" applyFill="1" applyAlignment="1">
      <alignment/>
    </xf>
    <xf numFmtId="190" fontId="9" fillId="4" borderId="0" xfId="15" applyFont="1" applyFill="1" applyAlignment="1">
      <alignment/>
    </xf>
    <xf numFmtId="190" fontId="7" fillId="0" borderId="0" xfId="15" applyFont="1" applyAlignment="1">
      <alignment/>
    </xf>
    <xf numFmtId="2" fontId="2" fillId="0" borderId="8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2" fontId="2" fillId="0" borderId="0" xfId="0" applyNumberFormat="1" applyFont="1" applyAlignment="1">
      <alignment/>
    </xf>
    <xf numFmtId="0" fontId="3" fillId="0" borderId="9" xfId="0" applyFont="1" applyBorder="1" applyAlignment="1">
      <alignment horizontal="right"/>
    </xf>
    <xf numFmtId="8" fontId="2" fillId="0" borderId="7" xfId="0" applyNumberFormat="1" applyFont="1" applyBorder="1" applyAlignment="1">
      <alignment/>
    </xf>
    <xf numFmtId="8" fontId="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8" fontId="16" fillId="0" borderId="11" xfId="0" applyNumberFormat="1" applyFont="1" applyBorder="1" applyAlignment="1">
      <alignment horizontal="center"/>
    </xf>
    <xf numFmtId="8" fontId="16" fillId="0" borderId="12" xfId="0" applyNumberFormat="1" applyFont="1" applyBorder="1" applyAlignment="1">
      <alignment horizontal="center"/>
    </xf>
    <xf numFmtId="0" fontId="2" fillId="5" borderId="13" xfId="0" applyFont="1" applyFill="1" applyBorder="1" applyAlignment="1">
      <alignment/>
    </xf>
    <xf numFmtId="0" fontId="2" fillId="5" borderId="14" xfId="0" applyFont="1" applyFill="1" applyBorder="1" applyAlignment="1">
      <alignment/>
    </xf>
    <xf numFmtId="0" fontId="3" fillId="5" borderId="14" xfId="0" applyFont="1" applyFill="1" applyBorder="1" applyAlignment="1">
      <alignment horizontal="right"/>
    </xf>
    <xf numFmtId="8" fontId="16" fillId="5" borderId="15" xfId="0" applyNumberFormat="1" applyFont="1" applyFill="1" applyBorder="1" applyAlignment="1">
      <alignment/>
    </xf>
  </cellXfs>
  <cellStyles count="8">
    <cellStyle name="Normal" xfId="0"/>
    <cellStyle name="Euro" xfId="15"/>
    <cellStyle name="Comma" xfId="16"/>
    <cellStyle name="Comma [0]" xfId="17"/>
    <cellStyle name="Currency" xfId="18"/>
    <cellStyle name="Currency [0]" xfId="19"/>
    <cellStyle name="Normal_Tabla de Amortización_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3:AM30"/>
  <sheetViews>
    <sheetView tabSelected="1" workbookViewId="0" topLeftCell="A1">
      <selection activeCell="L24" sqref="L24"/>
    </sheetView>
  </sheetViews>
  <sheetFormatPr defaultColWidth="11.421875" defaultRowHeight="12.75"/>
  <cols>
    <col min="1" max="2" width="9.140625" style="1" customWidth="1"/>
    <col min="3" max="3" width="10.57421875" style="1" customWidth="1"/>
    <col min="4" max="4" width="10.140625" style="1" customWidth="1"/>
    <col min="5" max="7" width="8.421875" style="1" customWidth="1"/>
    <col min="8" max="8" width="9.140625" style="1" customWidth="1"/>
    <col min="9" max="39" width="8.421875" style="1" customWidth="1"/>
    <col min="40" max="16384" width="9.140625" style="1" customWidth="1"/>
  </cols>
  <sheetData>
    <row r="3" ht="11.25">
      <c r="B3" s="1" t="s">
        <v>47</v>
      </c>
    </row>
    <row r="4" ht="11.25">
      <c r="B4" s="1" t="s">
        <v>50</v>
      </c>
    </row>
    <row r="5" spans="2:39" ht="11.25">
      <c r="B5" s="3" t="s">
        <v>1</v>
      </c>
      <c r="C5" s="4">
        <v>0</v>
      </c>
      <c r="D5" s="4"/>
      <c r="E5" s="5">
        <v>1</v>
      </c>
      <c r="F5" s="5">
        <v>2</v>
      </c>
      <c r="G5" s="5">
        <v>3</v>
      </c>
      <c r="H5" s="5">
        <v>4</v>
      </c>
      <c r="I5" s="5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14">
        <v>11</v>
      </c>
      <c r="P5" s="14">
        <v>12</v>
      </c>
      <c r="Q5" s="14">
        <v>13</v>
      </c>
      <c r="R5" s="14">
        <v>14</v>
      </c>
      <c r="S5" s="14">
        <v>15</v>
      </c>
      <c r="T5" s="14">
        <v>16</v>
      </c>
      <c r="U5" s="14">
        <v>17</v>
      </c>
      <c r="V5" s="14">
        <v>18</v>
      </c>
      <c r="W5" s="14">
        <v>19</v>
      </c>
      <c r="X5" s="14">
        <v>20</v>
      </c>
      <c r="Y5" s="14">
        <v>21</v>
      </c>
      <c r="Z5" s="14">
        <v>22</v>
      </c>
      <c r="AA5" s="14">
        <v>23</v>
      </c>
      <c r="AB5" s="14">
        <v>24</v>
      </c>
      <c r="AC5" s="14">
        <v>25</v>
      </c>
      <c r="AD5" s="14">
        <v>26</v>
      </c>
      <c r="AE5" s="14">
        <v>27</v>
      </c>
      <c r="AF5" s="14">
        <v>28</v>
      </c>
      <c r="AG5" s="14">
        <v>27</v>
      </c>
      <c r="AH5" s="14">
        <v>30</v>
      </c>
      <c r="AI5" s="14">
        <v>31</v>
      </c>
      <c r="AJ5" s="14">
        <v>32</v>
      </c>
      <c r="AK5" s="14">
        <v>33</v>
      </c>
      <c r="AL5" s="14">
        <v>34</v>
      </c>
      <c r="AM5" s="14">
        <v>35</v>
      </c>
    </row>
    <row r="6" spans="2:39" ht="11.25">
      <c r="B6" s="8"/>
      <c r="C6" s="12"/>
      <c r="D6" s="12" t="s">
        <v>45</v>
      </c>
      <c r="E6" s="15">
        <v>1610.46</v>
      </c>
      <c r="F6" s="15">
        <f>E6</f>
        <v>1610.46</v>
      </c>
      <c r="G6" s="15">
        <f>F6</f>
        <v>1610.46</v>
      </c>
      <c r="H6" s="15">
        <f>G6</f>
        <v>1610.46</v>
      </c>
      <c r="I6" s="15">
        <f aca="true" t="shared" si="0" ref="I6:AM6">H6</f>
        <v>1610.46</v>
      </c>
      <c r="J6" s="15">
        <f t="shared" si="0"/>
        <v>1610.46</v>
      </c>
      <c r="K6" s="15">
        <f t="shared" si="0"/>
        <v>1610.46</v>
      </c>
      <c r="L6" s="15">
        <f t="shared" si="0"/>
        <v>1610.46</v>
      </c>
      <c r="M6" s="15">
        <f t="shared" si="0"/>
        <v>1610.46</v>
      </c>
      <c r="N6" s="15">
        <f t="shared" si="0"/>
        <v>1610.46</v>
      </c>
      <c r="O6" s="15">
        <f t="shared" si="0"/>
        <v>1610.46</v>
      </c>
      <c r="P6" s="15">
        <f t="shared" si="0"/>
        <v>1610.46</v>
      </c>
      <c r="Q6" s="15">
        <f t="shared" si="0"/>
        <v>1610.46</v>
      </c>
      <c r="R6" s="15">
        <f t="shared" si="0"/>
        <v>1610.46</v>
      </c>
      <c r="S6" s="15">
        <f t="shared" si="0"/>
        <v>1610.46</v>
      </c>
      <c r="T6" s="15">
        <f t="shared" si="0"/>
        <v>1610.46</v>
      </c>
      <c r="U6" s="15">
        <f t="shared" si="0"/>
        <v>1610.46</v>
      </c>
      <c r="V6" s="15">
        <f t="shared" si="0"/>
        <v>1610.46</v>
      </c>
      <c r="W6" s="15">
        <f t="shared" si="0"/>
        <v>1610.46</v>
      </c>
      <c r="X6" s="15">
        <f t="shared" si="0"/>
        <v>1610.46</v>
      </c>
      <c r="Y6" s="15">
        <f t="shared" si="0"/>
        <v>1610.46</v>
      </c>
      <c r="Z6" s="15">
        <f t="shared" si="0"/>
        <v>1610.46</v>
      </c>
      <c r="AA6" s="15">
        <f>Z6</f>
        <v>1610.46</v>
      </c>
      <c r="AB6" s="15">
        <f t="shared" si="0"/>
        <v>1610.46</v>
      </c>
      <c r="AC6" s="15">
        <f t="shared" si="0"/>
        <v>1610.46</v>
      </c>
      <c r="AD6" s="15">
        <f t="shared" si="0"/>
        <v>1610.46</v>
      </c>
      <c r="AE6" s="15">
        <f t="shared" si="0"/>
        <v>1610.46</v>
      </c>
      <c r="AF6" s="15">
        <f t="shared" si="0"/>
        <v>1610.46</v>
      </c>
      <c r="AG6" s="15">
        <f>AF6</f>
        <v>1610.46</v>
      </c>
      <c r="AH6" s="15">
        <f t="shared" si="0"/>
        <v>1610.46</v>
      </c>
      <c r="AI6" s="15"/>
      <c r="AJ6" s="15">
        <f t="shared" si="0"/>
        <v>0</v>
      </c>
      <c r="AK6" s="15">
        <f t="shared" si="0"/>
        <v>0</v>
      </c>
      <c r="AL6" s="15">
        <f t="shared" si="0"/>
        <v>0</v>
      </c>
      <c r="AM6" s="15">
        <f t="shared" si="0"/>
        <v>0</v>
      </c>
    </row>
    <row r="7" spans="2:39" ht="11.25">
      <c r="B7" s="7"/>
      <c r="C7" s="12"/>
      <c r="D7" s="12" t="s">
        <v>46</v>
      </c>
      <c r="E7" s="15">
        <f aca="true" t="shared" si="1" ref="E7:AM7">12*E6</f>
        <v>19325.52</v>
      </c>
      <c r="F7" s="15">
        <f t="shared" si="1"/>
        <v>19325.52</v>
      </c>
      <c r="G7" s="15">
        <f t="shared" si="1"/>
        <v>19325.52</v>
      </c>
      <c r="H7" s="15">
        <f t="shared" si="1"/>
        <v>19325.52</v>
      </c>
      <c r="I7" s="15">
        <f t="shared" si="1"/>
        <v>19325.52</v>
      </c>
      <c r="J7" s="15">
        <f t="shared" si="1"/>
        <v>19325.52</v>
      </c>
      <c r="K7" s="15">
        <f t="shared" si="1"/>
        <v>19325.52</v>
      </c>
      <c r="L7" s="15">
        <f t="shared" si="1"/>
        <v>19325.52</v>
      </c>
      <c r="M7" s="15">
        <f t="shared" si="1"/>
        <v>19325.52</v>
      </c>
      <c r="N7" s="15">
        <f t="shared" si="1"/>
        <v>19325.52</v>
      </c>
      <c r="O7" s="15">
        <f t="shared" si="1"/>
        <v>19325.52</v>
      </c>
      <c r="P7" s="15">
        <f t="shared" si="1"/>
        <v>19325.52</v>
      </c>
      <c r="Q7" s="15">
        <f t="shared" si="1"/>
        <v>19325.52</v>
      </c>
      <c r="R7" s="15">
        <f t="shared" si="1"/>
        <v>19325.52</v>
      </c>
      <c r="S7" s="15">
        <f t="shared" si="1"/>
        <v>19325.52</v>
      </c>
      <c r="T7" s="15">
        <f t="shared" si="1"/>
        <v>19325.52</v>
      </c>
      <c r="U7" s="15">
        <f t="shared" si="1"/>
        <v>19325.52</v>
      </c>
      <c r="V7" s="15">
        <f t="shared" si="1"/>
        <v>19325.52</v>
      </c>
      <c r="W7" s="15">
        <f t="shared" si="1"/>
        <v>19325.52</v>
      </c>
      <c r="X7" s="15">
        <f t="shared" si="1"/>
        <v>19325.52</v>
      </c>
      <c r="Y7" s="15">
        <f t="shared" si="1"/>
        <v>19325.52</v>
      </c>
      <c r="Z7" s="15">
        <f t="shared" si="1"/>
        <v>19325.52</v>
      </c>
      <c r="AA7" s="15">
        <f t="shared" si="1"/>
        <v>19325.52</v>
      </c>
      <c r="AB7" s="15">
        <f t="shared" si="1"/>
        <v>19325.52</v>
      </c>
      <c r="AC7" s="15">
        <f t="shared" si="1"/>
        <v>19325.52</v>
      </c>
      <c r="AD7" s="15">
        <f t="shared" si="1"/>
        <v>19325.52</v>
      </c>
      <c r="AE7" s="15">
        <f t="shared" si="1"/>
        <v>19325.52</v>
      </c>
      <c r="AF7" s="15">
        <f t="shared" si="1"/>
        <v>19325.52</v>
      </c>
      <c r="AG7" s="15">
        <f t="shared" si="1"/>
        <v>19325.52</v>
      </c>
      <c r="AH7" s="15">
        <f t="shared" si="1"/>
        <v>19325.52</v>
      </c>
      <c r="AI7" s="15">
        <f t="shared" si="1"/>
        <v>0</v>
      </c>
      <c r="AJ7" s="15">
        <f t="shared" si="1"/>
        <v>0</v>
      </c>
      <c r="AK7" s="15">
        <f t="shared" si="1"/>
        <v>0</v>
      </c>
      <c r="AL7" s="15">
        <f t="shared" si="1"/>
        <v>0</v>
      </c>
      <c r="AM7" s="15">
        <f t="shared" si="1"/>
        <v>0</v>
      </c>
    </row>
    <row r="8" spans="2:39" ht="11.25">
      <c r="B8" s="7" t="s">
        <v>49</v>
      </c>
      <c r="C8" s="12"/>
      <c r="D8" s="12"/>
      <c r="E8" s="15"/>
      <c r="F8" s="15"/>
      <c r="G8" s="15"/>
      <c r="H8" s="15"/>
      <c r="I8" s="15"/>
      <c r="J8" s="16"/>
      <c r="K8" s="9"/>
      <c r="L8" s="9"/>
      <c r="M8" s="9"/>
      <c r="N8" s="20"/>
      <c r="S8" s="19"/>
      <c r="X8" s="19"/>
      <c r="AC8" s="19"/>
      <c r="AD8" s="19"/>
      <c r="AE8" s="19"/>
      <c r="AF8" s="19"/>
      <c r="AG8" s="19"/>
      <c r="AH8" s="19"/>
      <c r="AI8" s="19"/>
      <c r="AJ8" s="19"/>
      <c r="AK8" s="19"/>
      <c r="AL8" s="57"/>
      <c r="AM8" s="13"/>
    </row>
    <row r="9" spans="2:39" ht="11.25">
      <c r="B9" s="7" t="s">
        <v>48</v>
      </c>
      <c r="C9" s="11">
        <v>300000</v>
      </c>
      <c r="D9" s="9"/>
      <c r="E9" s="9">
        <f>-SUM(E7:E8)</f>
        <v>-19325.52</v>
      </c>
      <c r="F9" s="9">
        <f aca="true" t="shared" si="2" ref="F9:AM9">-SUM(F7:F8)</f>
        <v>-19325.52</v>
      </c>
      <c r="G9" s="9">
        <f t="shared" si="2"/>
        <v>-19325.52</v>
      </c>
      <c r="H9" s="9">
        <f t="shared" si="2"/>
        <v>-19325.52</v>
      </c>
      <c r="I9" s="9">
        <f t="shared" si="2"/>
        <v>-19325.52</v>
      </c>
      <c r="J9" s="9">
        <f t="shared" si="2"/>
        <v>-19325.52</v>
      </c>
      <c r="K9" s="9">
        <f t="shared" si="2"/>
        <v>-19325.52</v>
      </c>
      <c r="L9" s="9">
        <f t="shared" si="2"/>
        <v>-19325.52</v>
      </c>
      <c r="M9" s="9">
        <f t="shared" si="2"/>
        <v>-19325.52</v>
      </c>
      <c r="N9" s="9">
        <f t="shared" si="2"/>
        <v>-19325.52</v>
      </c>
      <c r="O9" s="9">
        <f t="shared" si="2"/>
        <v>-19325.52</v>
      </c>
      <c r="P9" s="9">
        <f t="shared" si="2"/>
        <v>-19325.52</v>
      </c>
      <c r="Q9" s="9">
        <f t="shared" si="2"/>
        <v>-19325.52</v>
      </c>
      <c r="R9" s="9">
        <f t="shared" si="2"/>
        <v>-19325.52</v>
      </c>
      <c r="S9" s="9">
        <f t="shared" si="2"/>
        <v>-19325.52</v>
      </c>
      <c r="T9" s="9">
        <f t="shared" si="2"/>
        <v>-19325.52</v>
      </c>
      <c r="U9" s="9">
        <f t="shared" si="2"/>
        <v>-19325.52</v>
      </c>
      <c r="V9" s="9">
        <f t="shared" si="2"/>
        <v>-19325.52</v>
      </c>
      <c r="W9" s="9">
        <f t="shared" si="2"/>
        <v>-19325.52</v>
      </c>
      <c r="X9" s="9">
        <f t="shared" si="2"/>
        <v>-19325.52</v>
      </c>
      <c r="Y9" s="9">
        <f t="shared" si="2"/>
        <v>-19325.52</v>
      </c>
      <c r="Z9" s="9">
        <f t="shared" si="2"/>
        <v>-19325.52</v>
      </c>
      <c r="AA9" s="9">
        <f t="shared" si="2"/>
        <v>-19325.52</v>
      </c>
      <c r="AB9" s="9">
        <f t="shared" si="2"/>
        <v>-19325.52</v>
      </c>
      <c r="AC9" s="9">
        <f t="shared" si="2"/>
        <v>-19325.52</v>
      </c>
      <c r="AD9" s="9">
        <f t="shared" si="2"/>
        <v>-19325.52</v>
      </c>
      <c r="AE9" s="9">
        <f t="shared" si="2"/>
        <v>-19325.52</v>
      </c>
      <c r="AF9" s="9">
        <f t="shared" si="2"/>
        <v>-19325.52</v>
      </c>
      <c r="AG9" s="9">
        <f t="shared" si="2"/>
        <v>-19325.52</v>
      </c>
      <c r="AH9" s="9">
        <f t="shared" si="2"/>
        <v>-19325.52</v>
      </c>
      <c r="AI9" s="9">
        <f t="shared" si="2"/>
        <v>0</v>
      </c>
      <c r="AJ9" s="9">
        <f t="shared" si="2"/>
        <v>0</v>
      </c>
      <c r="AK9" s="9">
        <f t="shared" si="2"/>
        <v>0</v>
      </c>
      <c r="AL9" s="9">
        <f t="shared" si="2"/>
        <v>0</v>
      </c>
      <c r="AM9" s="9">
        <f t="shared" si="2"/>
        <v>0</v>
      </c>
    </row>
    <row r="10" spans="2:4" ht="12" thickBot="1">
      <c r="B10" s="3" t="s">
        <v>2</v>
      </c>
      <c r="C10" s="10">
        <v>0.03</v>
      </c>
      <c r="D10" s="17" t="s">
        <v>53</v>
      </c>
    </row>
    <row r="11" spans="2:9" ht="12" thickBot="1">
      <c r="B11" s="3" t="s">
        <v>4</v>
      </c>
      <c r="C11" s="61">
        <f>NPV(C10,E9:AH9)</f>
        <v>-378788.7213080051</v>
      </c>
      <c r="D11" s="18"/>
      <c r="G11" s="63" t="s">
        <v>57</v>
      </c>
      <c r="H11" s="64">
        <f>SUM(E9:AM9)</f>
        <v>-579765.6000000002</v>
      </c>
      <c r="I11" s="65"/>
    </row>
    <row r="12" spans="2:5" ht="12" thickBot="1">
      <c r="B12" s="60" t="s">
        <v>3</v>
      </c>
      <c r="C12" s="62">
        <f>C9+C11+C8</f>
        <v>-78788.7213080051</v>
      </c>
      <c r="D12" s="18" t="s">
        <v>52</v>
      </c>
      <c r="E12" s="59"/>
    </row>
    <row r="13" spans="2:4" ht="11.25">
      <c r="B13" s="58"/>
      <c r="C13" s="18"/>
      <c r="D13" s="18"/>
    </row>
    <row r="15" ht="11.25">
      <c r="B15" s="1" t="s">
        <v>59</v>
      </c>
    </row>
    <row r="16" ht="11.25">
      <c r="B16" s="1" t="s">
        <v>51</v>
      </c>
    </row>
    <row r="17" spans="2:39" ht="11.25">
      <c r="B17" s="3" t="s">
        <v>1</v>
      </c>
      <c r="C17" s="4">
        <v>0</v>
      </c>
      <c r="D17" s="4"/>
      <c r="E17" s="5">
        <v>1</v>
      </c>
      <c r="F17" s="5">
        <v>2</v>
      </c>
      <c r="G17" s="5">
        <v>3</v>
      </c>
      <c r="H17" s="5">
        <v>4</v>
      </c>
      <c r="I17" s="5">
        <v>5</v>
      </c>
      <c r="J17" s="6">
        <v>6</v>
      </c>
      <c r="K17" s="6">
        <v>7</v>
      </c>
      <c r="L17" s="6">
        <v>8</v>
      </c>
      <c r="M17" s="6">
        <v>9</v>
      </c>
      <c r="N17" s="6">
        <v>10</v>
      </c>
      <c r="O17" s="14">
        <v>11</v>
      </c>
      <c r="P17" s="14">
        <v>12</v>
      </c>
      <c r="Q17" s="14">
        <v>13</v>
      </c>
      <c r="R17" s="14">
        <v>14</v>
      </c>
      <c r="S17" s="14">
        <v>15</v>
      </c>
      <c r="T17" s="14">
        <v>16</v>
      </c>
      <c r="U17" s="14">
        <v>17</v>
      </c>
      <c r="V17" s="14">
        <v>18</v>
      </c>
      <c r="W17" s="14">
        <v>19</v>
      </c>
      <c r="X17" s="14">
        <v>20</v>
      </c>
      <c r="Y17" s="14">
        <v>21</v>
      </c>
      <c r="Z17" s="14">
        <v>22</v>
      </c>
      <c r="AA17" s="14">
        <v>23</v>
      </c>
      <c r="AB17" s="14">
        <v>24</v>
      </c>
      <c r="AC17" s="14">
        <v>25</v>
      </c>
      <c r="AD17" s="14">
        <v>26</v>
      </c>
      <c r="AE17" s="14">
        <v>27</v>
      </c>
      <c r="AF17" s="14">
        <v>28</v>
      </c>
      <c r="AG17" s="14">
        <v>27</v>
      </c>
      <c r="AH17" s="14">
        <v>30</v>
      </c>
      <c r="AI17" s="14">
        <v>31</v>
      </c>
      <c r="AJ17" s="14">
        <v>32</v>
      </c>
      <c r="AK17" s="14">
        <v>33</v>
      </c>
      <c r="AL17" s="14">
        <v>34</v>
      </c>
      <c r="AM17" s="14">
        <v>35</v>
      </c>
    </row>
    <row r="18" spans="2:39" ht="11.25">
      <c r="B18" s="8"/>
      <c r="C18" s="12"/>
      <c r="D18" s="12" t="s">
        <v>45</v>
      </c>
      <c r="E18" s="15">
        <v>1564.94</v>
      </c>
      <c r="F18" s="15">
        <f>E18</f>
        <v>1564.94</v>
      </c>
      <c r="G18" s="15">
        <f>F18</f>
        <v>1564.94</v>
      </c>
      <c r="H18" s="15">
        <f>G18</f>
        <v>1564.94</v>
      </c>
      <c r="I18" s="15">
        <f aca="true" t="shared" si="3" ref="I18:Z18">H18</f>
        <v>1564.94</v>
      </c>
      <c r="J18" s="15">
        <f t="shared" si="3"/>
        <v>1564.94</v>
      </c>
      <c r="K18" s="15">
        <f t="shared" si="3"/>
        <v>1564.94</v>
      </c>
      <c r="L18" s="15">
        <f t="shared" si="3"/>
        <v>1564.94</v>
      </c>
      <c r="M18" s="15">
        <f t="shared" si="3"/>
        <v>1564.94</v>
      </c>
      <c r="N18" s="15">
        <f t="shared" si="3"/>
        <v>1564.94</v>
      </c>
      <c r="O18" s="15">
        <f t="shared" si="3"/>
        <v>1564.94</v>
      </c>
      <c r="P18" s="15">
        <f t="shared" si="3"/>
        <v>1564.94</v>
      </c>
      <c r="Q18" s="15">
        <f t="shared" si="3"/>
        <v>1564.94</v>
      </c>
      <c r="R18" s="15">
        <f t="shared" si="3"/>
        <v>1564.94</v>
      </c>
      <c r="S18" s="15">
        <f t="shared" si="3"/>
        <v>1564.94</v>
      </c>
      <c r="T18" s="15">
        <f t="shared" si="3"/>
        <v>1564.94</v>
      </c>
      <c r="U18" s="15">
        <f t="shared" si="3"/>
        <v>1564.94</v>
      </c>
      <c r="V18" s="15">
        <f t="shared" si="3"/>
        <v>1564.94</v>
      </c>
      <c r="W18" s="15">
        <f t="shared" si="3"/>
        <v>1564.94</v>
      </c>
      <c r="X18" s="15">
        <f t="shared" si="3"/>
        <v>1564.94</v>
      </c>
      <c r="Y18" s="15">
        <f t="shared" si="3"/>
        <v>1564.94</v>
      </c>
      <c r="Z18" s="15">
        <f t="shared" si="3"/>
        <v>1564.94</v>
      </c>
      <c r="AA18" s="15">
        <f aca="true" t="shared" si="4" ref="AA18:AH18">Z18</f>
        <v>1564.94</v>
      </c>
      <c r="AB18" s="15">
        <f t="shared" si="4"/>
        <v>1564.94</v>
      </c>
      <c r="AC18" s="15">
        <f t="shared" si="4"/>
        <v>1564.94</v>
      </c>
      <c r="AD18" s="15">
        <f t="shared" si="4"/>
        <v>1564.94</v>
      </c>
      <c r="AE18" s="15">
        <f t="shared" si="4"/>
        <v>1564.94</v>
      </c>
      <c r="AF18" s="15">
        <f t="shared" si="4"/>
        <v>1564.94</v>
      </c>
      <c r="AG18" s="15">
        <f t="shared" si="4"/>
        <v>1564.94</v>
      </c>
      <c r="AH18" s="15">
        <f t="shared" si="4"/>
        <v>1564.94</v>
      </c>
      <c r="AI18" s="15"/>
      <c r="AJ18" s="15">
        <f>AI18</f>
        <v>0</v>
      </c>
      <c r="AK18" s="15">
        <f>AJ18</f>
        <v>0</v>
      </c>
      <c r="AL18" s="15">
        <f>AK18</f>
        <v>0</v>
      </c>
      <c r="AM18" s="15">
        <f>AL18</f>
        <v>0</v>
      </c>
    </row>
    <row r="19" spans="2:39" ht="11.25">
      <c r="B19" s="7"/>
      <c r="C19" s="12"/>
      <c r="D19" s="12" t="s">
        <v>46</v>
      </c>
      <c r="E19" s="15">
        <f aca="true" t="shared" si="5" ref="E19:AM19">12*E18</f>
        <v>18779.28</v>
      </c>
      <c r="F19" s="15">
        <f t="shared" si="5"/>
        <v>18779.28</v>
      </c>
      <c r="G19" s="15">
        <f t="shared" si="5"/>
        <v>18779.28</v>
      </c>
      <c r="H19" s="15">
        <f t="shared" si="5"/>
        <v>18779.28</v>
      </c>
      <c r="I19" s="15">
        <f t="shared" si="5"/>
        <v>18779.28</v>
      </c>
      <c r="J19" s="15">
        <f t="shared" si="5"/>
        <v>18779.28</v>
      </c>
      <c r="K19" s="15">
        <f t="shared" si="5"/>
        <v>18779.28</v>
      </c>
      <c r="L19" s="15">
        <f t="shared" si="5"/>
        <v>18779.28</v>
      </c>
      <c r="M19" s="15">
        <f t="shared" si="5"/>
        <v>18779.28</v>
      </c>
      <c r="N19" s="15">
        <f t="shared" si="5"/>
        <v>18779.28</v>
      </c>
      <c r="O19" s="15">
        <f t="shared" si="5"/>
        <v>18779.28</v>
      </c>
      <c r="P19" s="15">
        <f t="shared" si="5"/>
        <v>18779.28</v>
      </c>
      <c r="Q19" s="15">
        <f t="shared" si="5"/>
        <v>18779.28</v>
      </c>
      <c r="R19" s="15">
        <f t="shared" si="5"/>
        <v>18779.28</v>
      </c>
      <c r="S19" s="15">
        <f t="shared" si="5"/>
        <v>18779.28</v>
      </c>
      <c r="T19" s="15">
        <f t="shared" si="5"/>
        <v>18779.28</v>
      </c>
      <c r="U19" s="15">
        <f t="shared" si="5"/>
        <v>18779.28</v>
      </c>
      <c r="V19" s="15">
        <f t="shared" si="5"/>
        <v>18779.28</v>
      </c>
      <c r="W19" s="15">
        <f t="shared" si="5"/>
        <v>18779.28</v>
      </c>
      <c r="X19" s="15">
        <f t="shared" si="5"/>
        <v>18779.28</v>
      </c>
      <c r="Y19" s="15">
        <f t="shared" si="5"/>
        <v>18779.28</v>
      </c>
      <c r="Z19" s="15">
        <f t="shared" si="5"/>
        <v>18779.28</v>
      </c>
      <c r="AA19" s="15">
        <f t="shared" si="5"/>
        <v>18779.28</v>
      </c>
      <c r="AB19" s="15">
        <f t="shared" si="5"/>
        <v>18779.28</v>
      </c>
      <c r="AC19" s="15">
        <f t="shared" si="5"/>
        <v>18779.28</v>
      </c>
      <c r="AD19" s="15">
        <f t="shared" si="5"/>
        <v>18779.28</v>
      </c>
      <c r="AE19" s="15">
        <f t="shared" si="5"/>
        <v>18779.28</v>
      </c>
      <c r="AF19" s="15">
        <f t="shared" si="5"/>
        <v>18779.28</v>
      </c>
      <c r="AG19" s="15">
        <f t="shared" si="5"/>
        <v>18779.28</v>
      </c>
      <c r="AH19" s="15">
        <f t="shared" si="5"/>
        <v>18779.28</v>
      </c>
      <c r="AI19" s="15">
        <f t="shared" si="5"/>
        <v>0</v>
      </c>
      <c r="AJ19" s="15">
        <f t="shared" si="5"/>
        <v>0</v>
      </c>
      <c r="AK19" s="15">
        <f t="shared" si="5"/>
        <v>0</v>
      </c>
      <c r="AL19" s="15">
        <f t="shared" si="5"/>
        <v>0</v>
      </c>
      <c r="AM19" s="15">
        <f t="shared" si="5"/>
        <v>0</v>
      </c>
    </row>
    <row r="20" spans="2:39" ht="11.25">
      <c r="B20" s="7" t="s">
        <v>49</v>
      </c>
      <c r="C20" s="12">
        <v>-5000</v>
      </c>
      <c r="D20" s="12"/>
      <c r="E20" s="15"/>
      <c r="F20" s="15"/>
      <c r="G20" s="15"/>
      <c r="H20" s="15"/>
      <c r="I20" s="15"/>
      <c r="J20" s="16"/>
      <c r="K20" s="9"/>
      <c r="L20" s="9"/>
      <c r="M20" s="9"/>
      <c r="N20" s="20"/>
      <c r="S20" s="19"/>
      <c r="X20" s="19"/>
      <c r="AC20" s="19"/>
      <c r="AD20" s="19"/>
      <c r="AE20" s="19"/>
      <c r="AF20" s="19"/>
      <c r="AG20" s="19"/>
      <c r="AH20" s="19"/>
      <c r="AI20" s="19"/>
      <c r="AJ20" s="19"/>
      <c r="AK20" s="19"/>
      <c r="AL20" s="57"/>
      <c r="AM20" s="13"/>
    </row>
    <row r="21" spans="2:39" ht="11.25">
      <c r="B21" s="7" t="s">
        <v>48</v>
      </c>
      <c r="C21" s="11">
        <v>300000</v>
      </c>
      <c r="D21" s="9"/>
      <c r="E21" s="9">
        <f aca="true" t="shared" si="6" ref="E21:AM21">-SUM(E19:E20)</f>
        <v>-18779.28</v>
      </c>
      <c r="F21" s="9">
        <f t="shared" si="6"/>
        <v>-18779.28</v>
      </c>
      <c r="G21" s="9">
        <f t="shared" si="6"/>
        <v>-18779.28</v>
      </c>
      <c r="H21" s="9">
        <f t="shared" si="6"/>
        <v>-18779.28</v>
      </c>
      <c r="I21" s="9">
        <f t="shared" si="6"/>
        <v>-18779.28</v>
      </c>
      <c r="J21" s="9">
        <f t="shared" si="6"/>
        <v>-18779.28</v>
      </c>
      <c r="K21" s="9">
        <f t="shared" si="6"/>
        <v>-18779.28</v>
      </c>
      <c r="L21" s="9">
        <f t="shared" si="6"/>
        <v>-18779.28</v>
      </c>
      <c r="M21" s="9">
        <f t="shared" si="6"/>
        <v>-18779.28</v>
      </c>
      <c r="N21" s="9">
        <f t="shared" si="6"/>
        <v>-18779.28</v>
      </c>
      <c r="O21" s="9">
        <f t="shared" si="6"/>
        <v>-18779.28</v>
      </c>
      <c r="P21" s="9">
        <f t="shared" si="6"/>
        <v>-18779.28</v>
      </c>
      <c r="Q21" s="9">
        <f t="shared" si="6"/>
        <v>-18779.28</v>
      </c>
      <c r="R21" s="9">
        <f t="shared" si="6"/>
        <v>-18779.28</v>
      </c>
      <c r="S21" s="9">
        <f t="shared" si="6"/>
        <v>-18779.28</v>
      </c>
      <c r="T21" s="9">
        <f t="shared" si="6"/>
        <v>-18779.28</v>
      </c>
      <c r="U21" s="9">
        <f t="shared" si="6"/>
        <v>-18779.28</v>
      </c>
      <c r="V21" s="9">
        <f t="shared" si="6"/>
        <v>-18779.28</v>
      </c>
      <c r="W21" s="9">
        <f t="shared" si="6"/>
        <v>-18779.28</v>
      </c>
      <c r="X21" s="9">
        <f t="shared" si="6"/>
        <v>-18779.28</v>
      </c>
      <c r="Y21" s="9">
        <f t="shared" si="6"/>
        <v>-18779.28</v>
      </c>
      <c r="Z21" s="9">
        <f t="shared" si="6"/>
        <v>-18779.28</v>
      </c>
      <c r="AA21" s="9">
        <f t="shared" si="6"/>
        <v>-18779.28</v>
      </c>
      <c r="AB21" s="9">
        <f t="shared" si="6"/>
        <v>-18779.28</v>
      </c>
      <c r="AC21" s="9">
        <f t="shared" si="6"/>
        <v>-18779.28</v>
      </c>
      <c r="AD21" s="9">
        <f t="shared" si="6"/>
        <v>-18779.28</v>
      </c>
      <c r="AE21" s="9">
        <f t="shared" si="6"/>
        <v>-18779.28</v>
      </c>
      <c r="AF21" s="9">
        <f t="shared" si="6"/>
        <v>-18779.28</v>
      </c>
      <c r="AG21" s="9">
        <f t="shared" si="6"/>
        <v>-18779.28</v>
      </c>
      <c r="AH21" s="9">
        <f t="shared" si="6"/>
        <v>-18779.28</v>
      </c>
      <c r="AI21" s="9">
        <f t="shared" si="6"/>
        <v>0</v>
      </c>
      <c r="AJ21" s="9">
        <f t="shared" si="6"/>
        <v>0</v>
      </c>
      <c r="AK21" s="9">
        <f t="shared" si="6"/>
        <v>0</v>
      </c>
      <c r="AL21" s="9">
        <f t="shared" si="6"/>
        <v>0</v>
      </c>
      <c r="AM21" s="9">
        <f t="shared" si="6"/>
        <v>0</v>
      </c>
    </row>
    <row r="22" spans="2:4" ht="12" thickBot="1">
      <c r="B22" s="3" t="s">
        <v>2</v>
      </c>
      <c r="C22" s="10">
        <v>0.03</v>
      </c>
      <c r="D22" s="17" t="s">
        <v>53</v>
      </c>
    </row>
    <row r="23" spans="2:9" ht="12" thickBot="1">
      <c r="B23" s="3" t="s">
        <v>4</v>
      </c>
      <c r="C23" s="61">
        <f>NPV(C22,E21:AH21)</f>
        <v>-368082.17622527055</v>
      </c>
      <c r="D23" s="18"/>
      <c r="G23" s="63" t="s">
        <v>58</v>
      </c>
      <c r="H23" s="64">
        <f>SUM(E21:AM21)+C20</f>
        <v>-568378.4000000004</v>
      </c>
      <c r="I23" s="65"/>
    </row>
    <row r="24" spans="2:5" ht="12" thickBot="1">
      <c r="B24" s="60" t="s">
        <v>3</v>
      </c>
      <c r="C24" s="62">
        <f>C21+C23+C20</f>
        <v>-73082.17622527055</v>
      </c>
      <c r="D24" s="18" t="s">
        <v>52</v>
      </c>
      <c r="E24" s="59"/>
    </row>
    <row r="25" ht="12" thickBot="1"/>
    <row r="26" spans="2:5" ht="12" thickBot="1">
      <c r="B26" s="66"/>
      <c r="C26" s="67"/>
      <c r="D26" s="68" t="s">
        <v>60</v>
      </c>
      <c r="E26" s="69">
        <f>C24-C12</f>
        <v>5706.5450827345485</v>
      </c>
    </row>
    <row r="28" ht="11.25">
      <c r="B28" s="1" t="s">
        <v>54</v>
      </c>
    </row>
    <row r="29" ht="11.25">
      <c r="B29" s="1" t="s">
        <v>55</v>
      </c>
    </row>
    <row r="30" ht="11.25">
      <c r="B30" s="1" t="s">
        <v>56</v>
      </c>
    </row>
  </sheetData>
  <mergeCells count="2">
    <mergeCell ref="H11:I11"/>
    <mergeCell ref="H23:I2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0"/>
  <sheetViews>
    <sheetView workbookViewId="0" topLeftCell="A16">
      <pane ySplit="4305" topLeftCell="BM355" activePane="topLeft" state="split"/>
      <selection pane="topLeft" activeCell="C17" sqref="C17"/>
      <selection pane="bottomLeft" activeCell="D41" sqref="D41"/>
    </sheetView>
  </sheetViews>
  <sheetFormatPr defaultColWidth="11.421875" defaultRowHeight="12.75"/>
  <cols>
    <col min="1" max="1" width="4.00390625" style="0" customWidth="1"/>
    <col min="2" max="2" width="18.7109375" style="0" customWidth="1"/>
    <col min="3" max="3" width="13.28125" style="0" customWidth="1"/>
    <col min="4" max="4" width="13.8515625" style="0" customWidth="1"/>
    <col min="6" max="6" width="13.140625" style="0" customWidth="1"/>
    <col min="7" max="7" width="14.8515625" style="0" customWidth="1"/>
  </cols>
  <sheetData>
    <row r="1" spans="1:7" ht="27">
      <c r="A1" s="21" t="s">
        <v>5</v>
      </c>
      <c r="B1" s="22"/>
      <c r="C1" s="22"/>
      <c r="D1" s="22"/>
      <c r="E1" s="22"/>
      <c r="F1" s="22"/>
      <c r="G1" s="22"/>
    </row>
    <row r="2" spans="1:7" ht="12.75">
      <c r="A2" s="23" t="s">
        <v>6</v>
      </c>
      <c r="B2" s="23"/>
      <c r="C2" s="23"/>
      <c r="D2" s="23"/>
      <c r="E2" s="23"/>
      <c r="F2" s="23"/>
      <c r="G2" s="23"/>
    </row>
    <row r="3" spans="1:7" ht="12.75">
      <c r="A3" s="23" t="s">
        <v>7</v>
      </c>
      <c r="B3" s="23"/>
      <c r="C3" s="23"/>
      <c r="D3" s="23"/>
      <c r="E3" s="23"/>
      <c r="F3" s="23"/>
      <c r="G3" s="23"/>
    </row>
    <row r="4" spans="1:7" ht="12.75">
      <c r="A4" s="24" t="s">
        <v>8</v>
      </c>
      <c r="B4" s="23"/>
      <c r="C4" s="23"/>
      <c r="D4" s="23"/>
      <c r="E4" s="23"/>
      <c r="F4" s="23"/>
      <c r="G4" s="23"/>
    </row>
    <row r="5" spans="1:7" ht="12.75">
      <c r="A5" s="24" t="s">
        <v>9</v>
      </c>
      <c r="B5" s="23"/>
      <c r="C5" s="23"/>
      <c r="D5" s="23"/>
      <c r="E5" s="23"/>
      <c r="F5" s="23"/>
      <c r="G5" s="23"/>
    </row>
    <row r="6" spans="1:7" ht="12.75">
      <c r="A6" s="24" t="s">
        <v>10</v>
      </c>
      <c r="B6" s="23"/>
      <c r="C6" s="23"/>
      <c r="D6" s="23"/>
      <c r="E6" s="23"/>
      <c r="F6" s="23"/>
      <c r="G6" s="23"/>
    </row>
    <row r="7" spans="1:7" ht="12.75">
      <c r="A7" s="23" t="s">
        <v>11</v>
      </c>
      <c r="B7" s="23"/>
      <c r="C7" s="23"/>
      <c r="D7" s="23"/>
      <c r="E7" s="23"/>
      <c r="F7" s="23"/>
      <c r="G7" s="23"/>
    </row>
    <row r="8" spans="1:7" ht="12.75">
      <c r="A8" s="23" t="s">
        <v>12</v>
      </c>
      <c r="B8" s="23"/>
      <c r="C8" s="23"/>
      <c r="D8" s="23"/>
      <c r="E8" s="23"/>
      <c r="F8" s="23"/>
      <c r="G8" s="23"/>
    </row>
    <row r="9" spans="1:7" ht="12.75">
      <c r="A9" s="25" t="s">
        <v>13</v>
      </c>
      <c r="B9" s="26"/>
      <c r="C9" s="27"/>
      <c r="D9" s="27"/>
      <c r="E9" s="27"/>
      <c r="F9" s="27"/>
      <c r="G9" s="27"/>
    </row>
    <row r="10" spans="1:7" ht="12.75">
      <c r="A10" s="26" t="s">
        <v>14</v>
      </c>
      <c r="B10" s="26"/>
      <c r="C10" s="27"/>
      <c r="D10" s="27"/>
      <c r="E10" s="27"/>
      <c r="F10" s="27"/>
      <c r="G10" s="27"/>
    </row>
    <row r="11" spans="1:7" ht="12.75">
      <c r="A11" s="23" t="s">
        <v>15</v>
      </c>
      <c r="B11" s="23"/>
      <c r="C11" s="27"/>
      <c r="D11" s="27"/>
      <c r="E11" s="27"/>
      <c r="F11" s="27"/>
      <c r="G11" s="27"/>
    </row>
    <row r="12" spans="1:7" ht="12.75">
      <c r="A12" s="23"/>
      <c r="B12" s="23"/>
      <c r="C12" s="23"/>
      <c r="D12" s="23"/>
      <c r="E12" s="23"/>
      <c r="F12" s="23"/>
      <c r="G12" s="23"/>
    </row>
    <row r="13" spans="1:7" ht="18">
      <c r="A13" s="28" t="s">
        <v>16</v>
      </c>
      <c r="B13" s="28"/>
      <c r="C13" s="30"/>
      <c r="D13" s="30"/>
      <c r="E13" s="30"/>
      <c r="F13" s="30"/>
      <c r="G13" s="30"/>
    </row>
    <row r="14" spans="1:7" ht="12.75">
      <c r="A14" s="31" t="s">
        <v>17</v>
      </c>
      <c r="B14" s="32"/>
      <c r="C14" s="33"/>
      <c r="E14" s="31" t="s">
        <v>18</v>
      </c>
      <c r="F14" s="34"/>
      <c r="G14" s="34"/>
    </row>
    <row r="15" spans="1:7" ht="12.75">
      <c r="A15" s="23"/>
      <c r="B15" s="35" t="s">
        <v>19</v>
      </c>
      <c r="C15" s="29">
        <v>300000</v>
      </c>
      <c r="D15" s="23"/>
      <c r="E15" s="23"/>
      <c r="F15" s="35" t="s">
        <v>20</v>
      </c>
      <c r="G15" s="36"/>
    </row>
    <row r="16" spans="1:7" ht="12.75">
      <c r="A16" s="23"/>
      <c r="B16" s="35" t="s">
        <v>21</v>
      </c>
      <c r="C16" s="37">
        <v>0.0475</v>
      </c>
      <c r="D16" s="23"/>
      <c r="E16" s="23"/>
      <c r="F16" s="35" t="s">
        <v>22</v>
      </c>
      <c r="G16" s="38">
        <v>1</v>
      </c>
    </row>
    <row r="17" spans="1:7" ht="12.75">
      <c r="A17" s="23"/>
      <c r="B17" s="35" t="s">
        <v>23</v>
      </c>
      <c r="C17" s="38">
        <v>30</v>
      </c>
      <c r="D17" s="23"/>
      <c r="E17" s="23"/>
      <c r="F17" s="23"/>
      <c r="G17" s="23"/>
    </row>
    <row r="18" spans="1:7" ht="12.75">
      <c r="A18" s="23"/>
      <c r="B18" s="35" t="s">
        <v>24</v>
      </c>
      <c r="C18" s="38">
        <v>12</v>
      </c>
      <c r="D18" s="23"/>
      <c r="F18" s="2" t="s">
        <v>25</v>
      </c>
      <c r="G18" s="2" t="s">
        <v>26</v>
      </c>
    </row>
    <row r="19" spans="1:7" ht="12.75">
      <c r="A19" s="23"/>
      <c r="B19" s="35" t="s">
        <v>27</v>
      </c>
      <c r="C19" s="39">
        <v>38473</v>
      </c>
      <c r="D19" s="23"/>
      <c r="E19" s="23"/>
      <c r="F19" s="56">
        <f>SUM(Cantidad_Prestada*100/80)</f>
        <v>375000</v>
      </c>
      <c r="G19" s="56">
        <f>SUM(F19-Cantidad_Prestada)</f>
        <v>75000</v>
      </c>
    </row>
    <row r="20" spans="1:7" ht="12.75">
      <c r="A20" s="31" t="s">
        <v>28</v>
      </c>
      <c r="B20" s="34"/>
      <c r="C20" s="34"/>
      <c r="D20" s="34"/>
      <c r="E20" s="34"/>
      <c r="F20" s="34"/>
      <c r="G20" s="34"/>
    </row>
    <row r="21" spans="1:7" ht="12.75">
      <c r="A21" s="23"/>
      <c r="B21" s="35" t="s">
        <v>29</v>
      </c>
      <c r="C21" s="40"/>
      <c r="D21" s="41" t="s">
        <v>30</v>
      </c>
      <c r="E21" s="41"/>
      <c r="F21" s="41"/>
      <c r="G21" s="41"/>
    </row>
    <row r="22" spans="1:7" ht="12.75">
      <c r="A22" s="23"/>
      <c r="B22" s="35" t="s">
        <v>31</v>
      </c>
      <c r="C22" s="54">
        <f>PMT(Tasa_Interés_Anual/12,Plazo_años*Pagos_por_año,-Cantidad_Prestada)</f>
        <v>1564.942009509352</v>
      </c>
      <c r="D22" s="42" t="s">
        <v>32</v>
      </c>
      <c r="E22" s="42"/>
      <c r="F22" s="42"/>
      <c r="G22" s="42"/>
    </row>
    <row r="23" spans="1:7" ht="12.75">
      <c r="A23" s="31" t="s">
        <v>33</v>
      </c>
      <c r="B23" s="34"/>
      <c r="C23" s="34"/>
      <c r="D23" s="34"/>
      <c r="E23" s="34"/>
      <c r="F23" s="34"/>
      <c r="G23" s="34"/>
    </row>
    <row r="24" spans="1:7" ht="12.75">
      <c r="A24" s="23"/>
      <c r="B24" s="35" t="s">
        <v>34</v>
      </c>
      <c r="C24" s="54">
        <f>PMT(Tasa_Interés_Anual/12,Plazo_años*Pagos_por_año,-Cantidad_Prestada)</f>
        <v>1564.942009509352</v>
      </c>
      <c r="D24" s="23"/>
      <c r="E24" s="23"/>
      <c r="F24" s="35" t="str">
        <f>"Balance inicial, pago "&amp;TEXT(Primer_pago_en_la_tabla,"0")&amp;":"</f>
        <v>Balance inicial, pago 1:</v>
      </c>
      <c r="G24" s="55">
        <f>FV(Tasa_Interés_Anual/Pagos_por_año,Primer_pago_en_la_tabla-1,Pago_Usar,-Cantidad_Prestada)</f>
        <v>300000</v>
      </c>
    </row>
    <row r="25" spans="1:7" ht="12.75">
      <c r="A25" s="23"/>
      <c r="B25" s="35" t="s">
        <v>35</v>
      </c>
      <c r="C25" s="43">
        <v>1</v>
      </c>
      <c r="D25" s="23"/>
      <c r="E25" s="23"/>
      <c r="F25" s="35" t="str">
        <f>"Interés acumulado antes del pago "&amp;TEXT(Primer_pago_en_la_tabla,"0")&amp;":"</f>
        <v>Interés acumulado antes del pago 1:</v>
      </c>
      <c r="G25" s="55">
        <f>Pago_Usar*(Primer_pago_en_la_tabla-1)-(Cantidad_Prestada-Saldo_Inicial_Pago_1)</f>
        <v>0</v>
      </c>
    </row>
    <row r="26" spans="1:7" ht="12.75">
      <c r="A26" s="23"/>
      <c r="B26" s="44"/>
      <c r="C26" s="45"/>
      <c r="D26" s="46"/>
      <c r="E26" s="46"/>
      <c r="F26" s="44"/>
      <c r="G26" s="47"/>
    </row>
    <row r="27" spans="1:7" ht="18">
      <c r="A27" s="28" t="s">
        <v>36</v>
      </c>
      <c r="B27" s="48"/>
      <c r="C27" s="48"/>
      <c r="D27" s="48"/>
      <c r="E27" s="48"/>
      <c r="F27" s="48"/>
      <c r="G27" s="48"/>
    </row>
    <row r="29" spans="1:7" ht="12.75">
      <c r="A29" s="49"/>
      <c r="B29" s="49" t="s">
        <v>37</v>
      </c>
      <c r="C29" s="49" t="s">
        <v>38</v>
      </c>
      <c r="D29" s="49"/>
      <c r="E29" s="49"/>
      <c r="F29" s="49" t="s">
        <v>38</v>
      </c>
      <c r="G29" s="49" t="s">
        <v>39</v>
      </c>
    </row>
    <row r="30" spans="1:7" ht="12.75">
      <c r="A30" s="50" t="s">
        <v>40</v>
      </c>
      <c r="B30" s="50" t="s">
        <v>41</v>
      </c>
      <c r="C30" s="50" t="s">
        <v>42</v>
      </c>
      <c r="D30" s="50" t="s">
        <v>39</v>
      </c>
      <c r="E30" s="50" t="s">
        <v>0</v>
      </c>
      <c r="F30" s="50" t="s">
        <v>43</v>
      </c>
      <c r="G30" s="50" t="s">
        <v>44</v>
      </c>
    </row>
    <row r="31" spans="1:7" ht="12.75">
      <c r="A31" s="51">
        <f>IF(Primer_pago_en_la_tabla&lt;Plazo_años*Pagos_por_año,Primer_pago_en_la_tabla,"")</f>
        <v>1</v>
      </c>
      <c r="B31" s="52">
        <f>IF('Tabla de Amortización'!A31&lt;&gt;"",DATE(YEAR([0]!Primer_pago),MONTH([0]!Primer_pago)+('Tabla de Amortización'!A31-1)*12/Pagos_por_año,DAY([0]!Primer_pago)),"")</f>
        <v>38473</v>
      </c>
      <c r="C31" s="53">
        <f>IF(A31&lt;&gt;"",IF(Saldo_Inicial_Pago_1&lt;0,0,Saldo_Inicial_Pago_1),"")</f>
        <v>300000</v>
      </c>
      <c r="D31" s="53">
        <f aca="true" t="shared" si="0" ref="D31:D94">Interés</f>
        <v>1187.5</v>
      </c>
      <c r="E31" s="53">
        <f aca="true" t="shared" si="1" ref="E31:E94">Capital</f>
        <v>377.4420095093519</v>
      </c>
      <c r="F31" s="53">
        <f aca="true" t="shared" si="2" ref="F31:F94">Saldo.Final</f>
        <v>299622.55799049063</v>
      </c>
      <c r="G31" s="53">
        <f>IF(A31&lt;&gt;"",D31+Interés_acumulado_antes_del_pago_1,"")</f>
        <v>1187.5</v>
      </c>
    </row>
    <row r="32" spans="1:7" ht="12.75">
      <c r="A32" s="51">
        <f aca="true" t="shared" si="3" ref="A32:A95">IF(OR(A31="",A31=Total_Pagos),"",A31+1)</f>
        <v>2</v>
      </c>
      <c r="B32" s="52">
        <f>IF('Tabla de Amortización'!A32&lt;&gt;"",DATE(YEAR([0]!Primer_pago),MONTH([0]!Primer_pago)+('Tabla de Amortización'!A32-1)*12/Pagos_por_año,DAY([0]!Primer_pago)),"")</f>
        <v>38504</v>
      </c>
      <c r="C32" s="53">
        <f aca="true" t="shared" si="4" ref="C32:C95">Saldo.Inicial</f>
        <v>299622.55799049063</v>
      </c>
      <c r="D32" s="53">
        <f t="shared" si="0"/>
        <v>1186.005958712359</v>
      </c>
      <c r="E32" s="53">
        <f t="shared" si="1"/>
        <v>378.93605079699296</v>
      </c>
      <c r="F32" s="53">
        <f t="shared" si="2"/>
        <v>299243.62193969364</v>
      </c>
      <c r="G32" s="53">
        <f aca="true" t="shared" si="5" ref="G32:G95">Interés.Acum</f>
        <v>2373.5059587123587</v>
      </c>
    </row>
    <row r="33" spans="1:7" ht="12.75">
      <c r="A33" s="51">
        <f t="shared" si="3"/>
        <v>3</v>
      </c>
      <c r="B33" s="52">
        <f>IF('Tabla de Amortización'!A33&lt;&gt;"",DATE(YEAR([0]!Primer_pago),MONTH([0]!Primer_pago)+('Tabla de Amortización'!A33-1)*12/Pagos_por_año,DAY([0]!Primer_pago)),"")</f>
        <v>38534</v>
      </c>
      <c r="C33" s="53">
        <f t="shared" si="4"/>
        <v>299243.62193969364</v>
      </c>
      <c r="D33" s="53">
        <f t="shared" si="0"/>
        <v>1184.5060035112874</v>
      </c>
      <c r="E33" s="53">
        <f t="shared" si="1"/>
        <v>380.4360059980645</v>
      </c>
      <c r="F33" s="53">
        <f t="shared" si="2"/>
        <v>298863.1859336956</v>
      </c>
      <c r="G33" s="53">
        <f t="shared" si="5"/>
        <v>3558.011962223646</v>
      </c>
    </row>
    <row r="34" spans="1:7" ht="12.75">
      <c r="A34" s="51">
        <f t="shared" si="3"/>
        <v>4</v>
      </c>
      <c r="B34" s="52">
        <f>IF('Tabla de Amortización'!A34&lt;&gt;"",DATE(YEAR([0]!Primer_pago),MONTH([0]!Primer_pago)+('Tabla de Amortización'!A34-1)*12/Pagos_por_año,DAY([0]!Primer_pago)),"")</f>
        <v>38565</v>
      </c>
      <c r="C34" s="53">
        <f t="shared" si="4"/>
        <v>298863.1859336956</v>
      </c>
      <c r="D34" s="53">
        <f t="shared" si="0"/>
        <v>1183.0001109875452</v>
      </c>
      <c r="E34" s="53">
        <f t="shared" si="1"/>
        <v>381.9418985218067</v>
      </c>
      <c r="F34" s="53">
        <f t="shared" si="2"/>
        <v>298481.2440351738</v>
      </c>
      <c r="G34" s="53">
        <f t="shared" si="5"/>
        <v>4741.012073211192</v>
      </c>
    </row>
    <row r="35" spans="1:7" ht="12.75">
      <c r="A35" s="51">
        <f t="shared" si="3"/>
        <v>5</v>
      </c>
      <c r="B35" s="52">
        <f>IF('Tabla de Amortización'!A35&lt;&gt;"",DATE(YEAR([0]!Primer_pago),MONTH([0]!Primer_pago)+('Tabla de Amortización'!A35-1)*12/Pagos_por_año,DAY([0]!Primer_pago)),"")</f>
        <v>38596</v>
      </c>
      <c r="C35" s="53">
        <f t="shared" si="4"/>
        <v>298481.2440351738</v>
      </c>
      <c r="D35" s="53">
        <f t="shared" si="0"/>
        <v>1181.4882576392297</v>
      </c>
      <c r="E35" s="53">
        <f t="shared" si="1"/>
        <v>383.45375187012223</v>
      </c>
      <c r="F35" s="53">
        <f t="shared" si="2"/>
        <v>298097.79028330365</v>
      </c>
      <c r="G35" s="53">
        <f t="shared" si="5"/>
        <v>5922.500330850422</v>
      </c>
    </row>
    <row r="36" spans="1:7" ht="12.75">
      <c r="A36" s="51">
        <f t="shared" si="3"/>
        <v>6</v>
      </c>
      <c r="B36" s="52">
        <f>IF('Tabla de Amortización'!A36&lt;&gt;"",DATE(YEAR([0]!Primer_pago),MONTH([0]!Primer_pago)+('Tabla de Amortización'!A36-1)*12/Pagos_por_año,DAY([0]!Primer_pago)),"")</f>
        <v>38626</v>
      </c>
      <c r="C36" s="53">
        <f t="shared" si="4"/>
        <v>298097.79028330365</v>
      </c>
      <c r="D36" s="53">
        <f t="shared" si="0"/>
        <v>1179.9704198714103</v>
      </c>
      <c r="E36" s="53">
        <f t="shared" si="1"/>
        <v>384.97158963794163</v>
      </c>
      <c r="F36" s="53">
        <f t="shared" si="2"/>
        <v>297712.81869366573</v>
      </c>
      <c r="G36" s="53">
        <f t="shared" si="5"/>
        <v>7102.470750721832</v>
      </c>
    </row>
    <row r="37" spans="1:7" ht="12.75">
      <c r="A37" s="51">
        <f t="shared" si="3"/>
        <v>7</v>
      </c>
      <c r="B37" s="52">
        <f>IF('Tabla de Amortización'!A37&lt;&gt;"",DATE(YEAR([0]!Primer_pago),MONTH([0]!Primer_pago)+('Tabla de Amortización'!A37-1)*12/Pagos_por_año,DAY([0]!Primer_pago)),"")</f>
        <v>38657</v>
      </c>
      <c r="C37" s="53">
        <f t="shared" si="4"/>
        <v>297712.81869366573</v>
      </c>
      <c r="D37" s="53">
        <f t="shared" si="0"/>
        <v>1178.4465739957602</v>
      </c>
      <c r="E37" s="53">
        <f t="shared" si="1"/>
        <v>386.4954355135917</v>
      </c>
      <c r="F37" s="53">
        <f t="shared" si="2"/>
        <v>297326.3232581521</v>
      </c>
      <c r="G37" s="53">
        <f t="shared" si="5"/>
        <v>8280.917324717591</v>
      </c>
    </row>
    <row r="38" spans="1:7" ht="12.75">
      <c r="A38" s="51">
        <f t="shared" si="3"/>
        <v>8</v>
      </c>
      <c r="B38" s="52">
        <f>IF('Tabla de Amortización'!A38&lt;&gt;"",DATE(YEAR([0]!Primer_pago),MONTH([0]!Primer_pago)+('Tabla de Amortización'!A38-1)*12/Pagos_por_año,DAY([0]!Primer_pago)),"")</f>
        <v>38687</v>
      </c>
      <c r="C38" s="53">
        <f t="shared" si="4"/>
        <v>297326.3232581521</v>
      </c>
      <c r="D38" s="53">
        <f t="shared" si="0"/>
        <v>1176.9166962301856</v>
      </c>
      <c r="E38" s="53">
        <f t="shared" si="1"/>
        <v>388.0253132791663</v>
      </c>
      <c r="F38" s="53">
        <f t="shared" si="2"/>
        <v>296938.29794487293</v>
      </c>
      <c r="G38" s="53">
        <f t="shared" si="5"/>
        <v>9457.834020947777</v>
      </c>
    </row>
    <row r="39" spans="1:7" ht="12.75">
      <c r="A39" s="51">
        <f t="shared" si="3"/>
        <v>9</v>
      </c>
      <c r="B39" s="52">
        <f>IF('Tabla de Amortización'!A39&lt;&gt;"",DATE(YEAR([0]!Primer_pago),MONTH([0]!Primer_pago)+('Tabla de Amortización'!A39-1)*12/Pagos_por_año,DAY([0]!Primer_pago)),"")</f>
        <v>38718</v>
      </c>
      <c r="C39" s="53">
        <f t="shared" si="4"/>
        <v>296938.29794487293</v>
      </c>
      <c r="D39" s="53">
        <f t="shared" si="0"/>
        <v>1175.3807626984556</v>
      </c>
      <c r="E39" s="53">
        <f t="shared" si="1"/>
        <v>389.56124681089636</v>
      </c>
      <c r="F39" s="53">
        <f t="shared" si="2"/>
        <v>296548.73669806204</v>
      </c>
      <c r="G39" s="53">
        <f t="shared" si="5"/>
        <v>10633.214783646234</v>
      </c>
    </row>
    <row r="40" spans="1:7" ht="12.75">
      <c r="A40" s="51">
        <f t="shared" si="3"/>
        <v>10</v>
      </c>
      <c r="B40" s="52">
        <f>IF('Tabla de Amortización'!A40&lt;&gt;"",DATE(YEAR([0]!Primer_pago),MONTH([0]!Primer_pago)+('Tabla de Amortización'!A40-1)*12/Pagos_por_año,DAY([0]!Primer_pago)),"")</f>
        <v>38749</v>
      </c>
      <c r="C40" s="53">
        <f t="shared" si="4"/>
        <v>296548.73669806204</v>
      </c>
      <c r="D40" s="53">
        <f t="shared" si="0"/>
        <v>1173.838749429829</v>
      </c>
      <c r="E40" s="53">
        <f t="shared" si="1"/>
        <v>391.1032600795229</v>
      </c>
      <c r="F40" s="53">
        <f t="shared" si="2"/>
        <v>296157.6334379825</v>
      </c>
      <c r="G40" s="53">
        <f t="shared" si="5"/>
        <v>11807.053533076063</v>
      </c>
    </row>
    <row r="41" spans="1:7" ht="12.75">
      <c r="A41" s="51">
        <f t="shared" si="3"/>
        <v>11</v>
      </c>
      <c r="B41" s="52">
        <f>IF('Tabla de Amortización'!A41&lt;&gt;"",DATE(YEAR([0]!Primer_pago),MONTH([0]!Primer_pago)+('Tabla de Amortización'!A41-1)*12/Pagos_por_año,DAY([0]!Primer_pago)),"")</f>
        <v>38777</v>
      </c>
      <c r="C41" s="53">
        <f t="shared" si="4"/>
        <v>296157.6334379825</v>
      </c>
      <c r="D41" s="53">
        <f t="shared" si="0"/>
        <v>1172.290632358681</v>
      </c>
      <c r="E41" s="53">
        <f t="shared" si="1"/>
        <v>392.6513771506709</v>
      </c>
      <c r="F41" s="53">
        <f t="shared" si="2"/>
        <v>295764.98206083186</v>
      </c>
      <c r="G41" s="53">
        <f t="shared" si="5"/>
        <v>12979.344165434744</v>
      </c>
    </row>
    <row r="42" spans="1:7" ht="12.75">
      <c r="A42" s="51">
        <f t="shared" si="3"/>
        <v>12</v>
      </c>
      <c r="B42" s="52">
        <f>IF('Tabla de Amortización'!A42&lt;&gt;"",DATE(YEAR([0]!Primer_pago),MONTH([0]!Primer_pago)+('Tabla de Amortización'!A42-1)*12/Pagos_por_año,DAY([0]!Primer_pago)),"")</f>
        <v>38808</v>
      </c>
      <c r="C42" s="53">
        <f t="shared" si="4"/>
        <v>295764.98206083186</v>
      </c>
      <c r="D42" s="53">
        <f t="shared" si="0"/>
        <v>1170.736387324126</v>
      </c>
      <c r="E42" s="53">
        <f t="shared" si="1"/>
        <v>394.2056221852258</v>
      </c>
      <c r="F42" s="53">
        <f t="shared" si="2"/>
        <v>295370.7764386466</v>
      </c>
      <c r="G42" s="53">
        <f t="shared" si="5"/>
        <v>14150.08055275887</v>
      </c>
    </row>
    <row r="43" spans="1:7" ht="12.75">
      <c r="A43" s="51">
        <f t="shared" si="3"/>
        <v>13</v>
      </c>
      <c r="B43" s="52">
        <f>IF('Tabla de Amortización'!A43&lt;&gt;"",DATE(YEAR([0]!Primer_pago),MONTH([0]!Primer_pago)+('Tabla de Amortización'!A43-1)*12/Pagos_por_año,DAY([0]!Primer_pago)),"")</f>
        <v>38838</v>
      </c>
      <c r="C43" s="53">
        <f t="shared" si="4"/>
        <v>295370.7764386466</v>
      </c>
      <c r="D43" s="53">
        <f t="shared" si="0"/>
        <v>1169.175990069643</v>
      </c>
      <c r="E43" s="53">
        <f t="shared" si="1"/>
        <v>395.766019439709</v>
      </c>
      <c r="F43" s="53">
        <f t="shared" si="2"/>
        <v>294975.01041920687</v>
      </c>
      <c r="G43" s="53">
        <f t="shared" si="5"/>
        <v>15319.256542828514</v>
      </c>
    </row>
    <row r="44" spans="1:7" ht="12.75">
      <c r="A44" s="51">
        <f t="shared" si="3"/>
        <v>14</v>
      </c>
      <c r="B44" s="52">
        <f>IF('Tabla de Amortización'!A44&lt;&gt;"",DATE(YEAR([0]!Primer_pago),MONTH([0]!Primer_pago)+('Tabla de Amortización'!A44-1)*12/Pagos_por_año,DAY([0]!Primer_pago)),"")</f>
        <v>38869</v>
      </c>
      <c r="C44" s="53">
        <f t="shared" si="4"/>
        <v>294975.01041920687</v>
      </c>
      <c r="D44" s="53">
        <f t="shared" si="0"/>
        <v>1167.609416242694</v>
      </c>
      <c r="E44" s="53">
        <f t="shared" si="1"/>
        <v>397.332593266658</v>
      </c>
      <c r="F44" s="53">
        <f t="shared" si="2"/>
        <v>294577.6778259402</v>
      </c>
      <c r="G44" s="53">
        <f t="shared" si="5"/>
        <v>16486.86595907121</v>
      </c>
    </row>
    <row r="45" spans="1:7" ht="12.75">
      <c r="A45" s="51">
        <f t="shared" si="3"/>
        <v>15</v>
      </c>
      <c r="B45" s="52">
        <f>IF('Tabla de Amortización'!A45&lt;&gt;"",DATE(YEAR([0]!Primer_pago),MONTH([0]!Primer_pago)+('Tabla de Amortización'!A45-1)*12/Pagos_por_año,DAY([0]!Primer_pago)),"")</f>
        <v>38899</v>
      </c>
      <c r="C45" s="53">
        <f t="shared" si="4"/>
        <v>294577.6778259402</v>
      </c>
      <c r="D45" s="53">
        <f t="shared" si="0"/>
        <v>1166.0366413943466</v>
      </c>
      <c r="E45" s="53">
        <f t="shared" si="1"/>
        <v>398.90536811500533</v>
      </c>
      <c r="F45" s="53">
        <f t="shared" si="2"/>
        <v>294178.7724578252</v>
      </c>
      <c r="G45" s="53">
        <f t="shared" si="5"/>
        <v>17652.902600465553</v>
      </c>
    </row>
    <row r="46" spans="1:7" ht="12.75">
      <c r="A46" s="51">
        <f t="shared" si="3"/>
        <v>16</v>
      </c>
      <c r="B46" s="52">
        <f>IF('Tabla de Amortización'!A46&lt;&gt;"",DATE(YEAR([0]!Primer_pago),MONTH([0]!Primer_pago)+('Tabla de Amortización'!A46-1)*12/Pagos_por_año,DAY([0]!Primer_pago)),"")</f>
        <v>38930</v>
      </c>
      <c r="C46" s="53">
        <f t="shared" si="4"/>
        <v>294178.7724578252</v>
      </c>
      <c r="D46" s="53">
        <f t="shared" si="0"/>
        <v>1164.4576409788915</v>
      </c>
      <c r="E46" s="53">
        <f t="shared" si="1"/>
        <v>400.4843685304604</v>
      </c>
      <c r="F46" s="53">
        <f t="shared" si="2"/>
        <v>293778.28808929474</v>
      </c>
      <c r="G46" s="53">
        <f t="shared" si="5"/>
        <v>18817.360241444447</v>
      </c>
    </row>
    <row r="47" spans="1:7" ht="12.75">
      <c r="A47" s="51">
        <f t="shared" si="3"/>
        <v>17</v>
      </c>
      <c r="B47" s="52">
        <f>IF('Tabla de Amortización'!A47&lt;&gt;"",DATE(YEAR([0]!Primer_pago),MONTH([0]!Primer_pago)+('Tabla de Amortización'!A47-1)*12/Pagos_por_año,DAY([0]!Primer_pago)),"")</f>
        <v>38961</v>
      </c>
      <c r="C47" s="53">
        <f t="shared" si="4"/>
        <v>293778.28808929474</v>
      </c>
      <c r="D47" s="53">
        <f t="shared" si="0"/>
        <v>1162.8723903534585</v>
      </c>
      <c r="E47" s="53">
        <f t="shared" si="1"/>
        <v>402.0696191558934</v>
      </c>
      <c r="F47" s="53">
        <f t="shared" si="2"/>
        <v>293376.21847013885</v>
      </c>
      <c r="G47" s="53">
        <f t="shared" si="5"/>
        <v>19980.232631797906</v>
      </c>
    </row>
    <row r="48" spans="1:7" ht="12.75">
      <c r="A48" s="51">
        <f t="shared" si="3"/>
        <v>18</v>
      </c>
      <c r="B48" s="52">
        <f>IF('Tabla de Amortización'!A48&lt;&gt;"",DATE(YEAR([0]!Primer_pago),MONTH([0]!Primer_pago)+('Tabla de Amortización'!A48-1)*12/Pagos_por_año,DAY([0]!Primer_pago)),"")</f>
        <v>38991</v>
      </c>
      <c r="C48" s="53">
        <f t="shared" si="4"/>
        <v>293376.21847013885</v>
      </c>
      <c r="D48" s="53">
        <f t="shared" si="0"/>
        <v>1161.280864777633</v>
      </c>
      <c r="E48" s="53">
        <f t="shared" si="1"/>
        <v>403.6611447317189</v>
      </c>
      <c r="F48" s="53">
        <f t="shared" si="2"/>
        <v>292972.5573254071</v>
      </c>
      <c r="G48" s="53">
        <f t="shared" si="5"/>
        <v>21141.51349657554</v>
      </c>
    </row>
    <row r="49" spans="1:7" ht="12.75">
      <c r="A49" s="51">
        <f t="shared" si="3"/>
        <v>19</v>
      </c>
      <c r="B49" s="52">
        <f>IF('Tabla de Amortización'!A49&lt;&gt;"",DATE(YEAR([0]!Primer_pago),MONTH([0]!Primer_pago)+('Tabla de Amortización'!A49-1)*12/Pagos_por_año,DAY([0]!Primer_pago)),"")</f>
        <v>39022</v>
      </c>
      <c r="C49" s="53">
        <f t="shared" si="4"/>
        <v>292972.5573254071</v>
      </c>
      <c r="D49" s="53">
        <f t="shared" si="0"/>
        <v>1159.68303941307</v>
      </c>
      <c r="E49" s="53">
        <f t="shared" si="1"/>
        <v>405.2589700962819</v>
      </c>
      <c r="F49" s="53">
        <f t="shared" si="2"/>
        <v>292567.2983553108</v>
      </c>
      <c r="G49" s="53">
        <f t="shared" si="5"/>
        <v>22301.19653598861</v>
      </c>
    </row>
    <row r="50" spans="1:7" ht="12.75">
      <c r="A50" s="51">
        <f t="shared" si="3"/>
        <v>20</v>
      </c>
      <c r="B50" s="52">
        <f>IF('Tabla de Amortización'!A50&lt;&gt;"",DATE(YEAR([0]!Primer_pago),MONTH([0]!Primer_pago)+('Tabla de Amortización'!A50-1)*12/Pagos_por_año,DAY([0]!Primer_pago)),"")</f>
        <v>39052</v>
      </c>
      <c r="C50" s="53">
        <f t="shared" si="4"/>
        <v>292567.2983553108</v>
      </c>
      <c r="D50" s="53">
        <f t="shared" si="0"/>
        <v>1158.0788893231054</v>
      </c>
      <c r="E50" s="53">
        <f t="shared" si="1"/>
        <v>406.86312018624653</v>
      </c>
      <c r="F50" s="53">
        <f t="shared" si="2"/>
        <v>292160.43523512455</v>
      </c>
      <c r="G50" s="53">
        <f t="shared" si="5"/>
        <v>23459.275425311713</v>
      </c>
    </row>
    <row r="51" spans="1:7" ht="12.75">
      <c r="A51" s="51">
        <f t="shared" si="3"/>
        <v>21</v>
      </c>
      <c r="B51" s="52">
        <f>IF('Tabla de Amortización'!A51&lt;&gt;"",DATE(YEAR([0]!Primer_pago),MONTH([0]!Primer_pago)+('Tabla de Amortización'!A51-1)*12/Pagos_por_año,DAY([0]!Primer_pago)),"")</f>
        <v>39083</v>
      </c>
      <c r="C51" s="53">
        <f t="shared" si="4"/>
        <v>292160.43523512455</v>
      </c>
      <c r="D51" s="53">
        <f t="shared" si="0"/>
        <v>1156.468389472368</v>
      </c>
      <c r="E51" s="53">
        <f t="shared" si="1"/>
        <v>408.4736200369839</v>
      </c>
      <c r="F51" s="53">
        <f t="shared" si="2"/>
        <v>291751.9616150876</v>
      </c>
      <c r="G51" s="53">
        <f t="shared" si="5"/>
        <v>24615.74381478408</v>
      </c>
    </row>
    <row r="52" spans="1:7" ht="12.75">
      <c r="A52" s="51">
        <f t="shared" si="3"/>
        <v>22</v>
      </c>
      <c r="B52" s="52">
        <f>IF('Tabla de Amortización'!A52&lt;&gt;"",DATE(YEAR([0]!Primer_pago),MONTH([0]!Primer_pago)+('Tabla de Amortización'!A52-1)*12/Pagos_por_año,DAY([0]!Primer_pago)),"")</f>
        <v>39114</v>
      </c>
      <c r="C52" s="53">
        <f t="shared" si="4"/>
        <v>291751.9616150876</v>
      </c>
      <c r="D52" s="53">
        <f t="shared" si="0"/>
        <v>1154.8515147263884</v>
      </c>
      <c r="E52" s="53">
        <f t="shared" si="1"/>
        <v>410.09049478296356</v>
      </c>
      <c r="F52" s="53">
        <f t="shared" si="2"/>
        <v>291341.8711203046</v>
      </c>
      <c r="G52" s="53">
        <f t="shared" si="5"/>
        <v>25770.59532951047</v>
      </c>
    </row>
    <row r="53" spans="1:7" ht="12.75">
      <c r="A53" s="51">
        <f t="shared" si="3"/>
        <v>23</v>
      </c>
      <c r="B53" s="52">
        <f>IF('Tabla de Amortización'!A53&lt;&gt;"",DATE(YEAR([0]!Primer_pago),MONTH([0]!Primer_pago)+('Tabla de Amortización'!A53-1)*12/Pagos_por_año,DAY([0]!Primer_pago)),"")</f>
        <v>39142</v>
      </c>
      <c r="C53" s="53">
        <f t="shared" si="4"/>
        <v>291341.8711203046</v>
      </c>
      <c r="D53" s="53">
        <f t="shared" si="0"/>
        <v>1153.228239851206</v>
      </c>
      <c r="E53" s="53">
        <f t="shared" si="1"/>
        <v>411.713769658146</v>
      </c>
      <c r="F53" s="53">
        <f t="shared" si="2"/>
        <v>290930.1573506465</v>
      </c>
      <c r="G53" s="53">
        <f t="shared" si="5"/>
        <v>26923.823569361677</v>
      </c>
    </row>
    <row r="54" spans="1:7" ht="12.75">
      <c r="A54" s="51">
        <f t="shared" si="3"/>
        <v>24</v>
      </c>
      <c r="B54" s="52">
        <f>IF('Tabla de Amortización'!A54&lt;&gt;"",DATE(YEAR([0]!Primer_pago),MONTH([0]!Primer_pago)+('Tabla de Amortización'!A54-1)*12/Pagos_por_año,DAY([0]!Primer_pago)),"")</f>
        <v>39173</v>
      </c>
      <c r="C54" s="53">
        <f t="shared" si="4"/>
        <v>290930.1573506465</v>
      </c>
      <c r="D54" s="53">
        <f t="shared" si="0"/>
        <v>1151.5985395129758</v>
      </c>
      <c r="E54" s="53">
        <f t="shared" si="1"/>
        <v>413.34346999637614</v>
      </c>
      <c r="F54" s="53">
        <f t="shared" si="2"/>
        <v>290516.81388065015</v>
      </c>
      <c r="G54" s="53">
        <f t="shared" si="5"/>
        <v>28075.422108874653</v>
      </c>
    </row>
    <row r="55" spans="1:7" ht="12.75">
      <c r="A55" s="51">
        <f t="shared" si="3"/>
        <v>25</v>
      </c>
      <c r="B55" s="52">
        <f>IF('Tabla de Amortización'!A55&lt;&gt;"",DATE(YEAR([0]!Primer_pago),MONTH([0]!Primer_pago)+('Tabla de Amortización'!A55-1)*12/Pagos_por_año,DAY([0]!Primer_pago)),"")</f>
        <v>39203</v>
      </c>
      <c r="C55" s="53">
        <f t="shared" si="4"/>
        <v>290516.81388065015</v>
      </c>
      <c r="D55" s="53">
        <f t="shared" si="0"/>
        <v>1149.9623882775736</v>
      </c>
      <c r="E55" s="53">
        <f t="shared" si="1"/>
        <v>414.9796212317783</v>
      </c>
      <c r="F55" s="53">
        <f t="shared" si="2"/>
        <v>290101.83425941836</v>
      </c>
      <c r="G55" s="53">
        <f t="shared" si="5"/>
        <v>29225.384497152227</v>
      </c>
    </row>
    <row r="56" spans="1:7" ht="12.75">
      <c r="A56" s="51">
        <f t="shared" si="3"/>
        <v>26</v>
      </c>
      <c r="B56" s="52">
        <f>IF('Tabla de Amortización'!A56&lt;&gt;"",DATE(YEAR([0]!Primer_pago),MONTH([0]!Primer_pago)+('Tabla de Amortización'!A56-1)*12/Pagos_por_año,DAY([0]!Primer_pago)),"")</f>
        <v>39234</v>
      </c>
      <c r="C56" s="53">
        <f t="shared" si="4"/>
        <v>290101.83425941836</v>
      </c>
      <c r="D56" s="53">
        <f t="shared" si="0"/>
        <v>1148.3197606101978</v>
      </c>
      <c r="E56" s="53">
        <f t="shared" si="1"/>
        <v>416.6222488991541</v>
      </c>
      <c r="F56" s="53">
        <f t="shared" si="2"/>
        <v>289685.21201051923</v>
      </c>
      <c r="G56" s="53">
        <f t="shared" si="5"/>
        <v>30373.704257762423</v>
      </c>
    </row>
    <row r="57" spans="1:7" ht="12.75">
      <c r="A57" s="51">
        <f t="shared" si="3"/>
        <v>27</v>
      </c>
      <c r="B57" s="52">
        <f>IF('Tabla de Amortización'!A57&lt;&gt;"",DATE(YEAR([0]!Primer_pago),MONTH([0]!Primer_pago)+('Tabla de Amortización'!A57-1)*12/Pagos_por_año,DAY([0]!Primer_pago)),"")</f>
        <v>39264</v>
      </c>
      <c r="C57" s="53">
        <f t="shared" si="4"/>
        <v>289685.21201051923</v>
      </c>
      <c r="D57" s="53">
        <f t="shared" si="0"/>
        <v>1146.670630874972</v>
      </c>
      <c r="E57" s="53">
        <f t="shared" si="1"/>
        <v>418.27137863437997</v>
      </c>
      <c r="F57" s="53">
        <f t="shared" si="2"/>
        <v>289266.94063188485</v>
      </c>
      <c r="G57" s="53">
        <f t="shared" si="5"/>
        <v>31520.374888637394</v>
      </c>
    </row>
    <row r="58" spans="1:7" ht="12.75">
      <c r="A58" s="51">
        <f t="shared" si="3"/>
        <v>28</v>
      </c>
      <c r="B58" s="52">
        <f>IF('Tabla de Amortización'!A58&lt;&gt;"",DATE(YEAR([0]!Primer_pago),MONTH([0]!Primer_pago)+('Tabla de Amortización'!A58-1)*12/Pagos_por_año,DAY([0]!Primer_pago)),"")</f>
        <v>39295</v>
      </c>
      <c r="C58" s="53">
        <f t="shared" si="4"/>
        <v>289266.94063188485</v>
      </c>
      <c r="D58" s="53">
        <f t="shared" si="0"/>
        <v>1145.0149733345443</v>
      </c>
      <c r="E58" s="53">
        <f t="shared" si="1"/>
        <v>419.92703617480765</v>
      </c>
      <c r="F58" s="53">
        <f t="shared" si="2"/>
        <v>288847.01359571004</v>
      </c>
      <c r="G58" s="53">
        <f t="shared" si="5"/>
        <v>32665.38986197194</v>
      </c>
    </row>
    <row r="59" spans="1:7" ht="12.75">
      <c r="A59" s="51">
        <f t="shared" si="3"/>
        <v>29</v>
      </c>
      <c r="B59" s="52">
        <f>IF('Tabla de Amortización'!A59&lt;&gt;"",DATE(YEAR([0]!Primer_pago),MONTH([0]!Primer_pago)+('Tabla de Amortización'!A59-1)*12/Pagos_por_año,DAY([0]!Primer_pago)),"")</f>
        <v>39326</v>
      </c>
      <c r="C59" s="53">
        <f t="shared" si="4"/>
        <v>288847.01359571004</v>
      </c>
      <c r="D59" s="53">
        <f t="shared" si="0"/>
        <v>1143.3527621496858</v>
      </c>
      <c r="E59" s="53">
        <f t="shared" si="1"/>
        <v>421.58924735966616</v>
      </c>
      <c r="F59" s="53">
        <f t="shared" si="2"/>
        <v>288425.4243483504</v>
      </c>
      <c r="G59" s="53">
        <f t="shared" si="5"/>
        <v>33808.74262412162</v>
      </c>
    </row>
    <row r="60" spans="1:7" ht="12.75">
      <c r="A60" s="51">
        <f t="shared" si="3"/>
        <v>30</v>
      </c>
      <c r="B60" s="52">
        <f>IF('Tabla de Amortización'!A60&lt;&gt;"",DATE(YEAR([0]!Primer_pago),MONTH([0]!Primer_pago)+('Tabla de Amortización'!A60-1)*12/Pagos_por_año,DAY([0]!Primer_pago)),"")</f>
        <v>39356</v>
      </c>
      <c r="C60" s="53">
        <f t="shared" si="4"/>
        <v>288425.4243483504</v>
      </c>
      <c r="D60" s="53">
        <f t="shared" si="0"/>
        <v>1141.683971378887</v>
      </c>
      <c r="E60" s="53">
        <f t="shared" si="1"/>
        <v>423.2580381304649</v>
      </c>
      <c r="F60" s="53">
        <f t="shared" si="2"/>
        <v>288002.1663102199</v>
      </c>
      <c r="G60" s="53">
        <f t="shared" si="5"/>
        <v>34950.42659550051</v>
      </c>
    </row>
    <row r="61" spans="1:7" ht="12.75">
      <c r="A61" s="51">
        <f t="shared" si="3"/>
        <v>31</v>
      </c>
      <c r="B61" s="52">
        <f>IF('Tabla de Amortización'!A61&lt;&gt;"",DATE(YEAR([0]!Primer_pago),MONTH([0]!Primer_pago)+('Tabla de Amortización'!A61-1)*12/Pagos_por_año,DAY([0]!Primer_pago)),"")</f>
        <v>39387</v>
      </c>
      <c r="C61" s="53">
        <f t="shared" si="4"/>
        <v>288002.1663102199</v>
      </c>
      <c r="D61" s="53">
        <f t="shared" si="0"/>
        <v>1140.008574977954</v>
      </c>
      <c r="E61" s="53">
        <f t="shared" si="1"/>
        <v>424.933434531398</v>
      </c>
      <c r="F61" s="53">
        <f t="shared" si="2"/>
        <v>287577.2328756885</v>
      </c>
      <c r="G61" s="53">
        <f t="shared" si="5"/>
        <v>36090.435170478464</v>
      </c>
    </row>
    <row r="62" spans="1:7" ht="12.75">
      <c r="A62" s="51">
        <f t="shared" si="3"/>
        <v>32</v>
      </c>
      <c r="B62" s="52">
        <f>IF('Tabla de Amortización'!A62&lt;&gt;"",DATE(YEAR([0]!Primer_pago),MONTH([0]!Primer_pago)+('Tabla de Amortización'!A62-1)*12/Pagos_por_año,DAY([0]!Primer_pago)),"")</f>
        <v>39417</v>
      </c>
      <c r="C62" s="53">
        <f t="shared" si="4"/>
        <v>287577.2328756885</v>
      </c>
      <c r="D62" s="53">
        <f t="shared" si="0"/>
        <v>1138.3265467996005</v>
      </c>
      <c r="E62" s="53">
        <f t="shared" si="1"/>
        <v>426.61546270975145</v>
      </c>
      <c r="F62" s="53">
        <f t="shared" si="2"/>
        <v>287150.6174129788</v>
      </c>
      <c r="G62" s="53">
        <f t="shared" si="5"/>
        <v>37228.76171727807</v>
      </c>
    </row>
    <row r="63" spans="1:7" ht="12.75">
      <c r="A63" s="51">
        <f t="shared" si="3"/>
        <v>33</v>
      </c>
      <c r="B63" s="52">
        <f>IF('Tabla de Amortización'!A63&lt;&gt;"",DATE(YEAR([0]!Primer_pago),MONTH([0]!Primer_pago)+('Tabla de Amortización'!A63-1)*12/Pagos_por_año,DAY([0]!Primer_pago)),"")</f>
        <v>39448</v>
      </c>
      <c r="C63" s="53">
        <f t="shared" si="4"/>
        <v>287150.6174129788</v>
      </c>
      <c r="D63" s="53">
        <f t="shared" si="0"/>
        <v>1136.637860593041</v>
      </c>
      <c r="E63" s="53">
        <f t="shared" si="1"/>
        <v>428.30414891631085</v>
      </c>
      <c r="F63" s="53">
        <f t="shared" si="2"/>
        <v>286722.31326406245</v>
      </c>
      <c r="G63" s="53">
        <f t="shared" si="5"/>
        <v>38365.39957787111</v>
      </c>
    </row>
    <row r="64" spans="1:7" ht="12.75">
      <c r="A64" s="51">
        <f t="shared" si="3"/>
        <v>34</v>
      </c>
      <c r="B64" s="52">
        <f>IF('Tabla de Amortización'!A64&lt;&gt;"",DATE(YEAR([0]!Primer_pago),MONTH([0]!Primer_pago)+('Tabla de Amortización'!A64-1)*12/Pagos_por_año,DAY([0]!Primer_pago)),"")</f>
        <v>39479</v>
      </c>
      <c r="C64" s="53">
        <f t="shared" si="4"/>
        <v>286722.31326406245</v>
      </c>
      <c r="D64" s="53">
        <f t="shared" si="0"/>
        <v>1134.9424900035806</v>
      </c>
      <c r="E64" s="53">
        <f t="shared" si="1"/>
        <v>429.99951950577133</v>
      </c>
      <c r="F64" s="53">
        <f t="shared" si="2"/>
        <v>286292.3137445567</v>
      </c>
      <c r="G64" s="53">
        <f t="shared" si="5"/>
        <v>39500.34206787469</v>
      </c>
    </row>
    <row r="65" spans="1:7" ht="12.75">
      <c r="A65" s="51">
        <f t="shared" si="3"/>
        <v>35</v>
      </c>
      <c r="B65" s="52">
        <f>IF('Tabla de Amortización'!A65&lt;&gt;"",DATE(YEAR([0]!Primer_pago),MONTH([0]!Primer_pago)+('Tabla de Amortización'!A65-1)*12/Pagos_por_año,DAY([0]!Primer_pago)),"")</f>
        <v>39508</v>
      </c>
      <c r="C65" s="53">
        <f t="shared" si="4"/>
        <v>286292.3137445567</v>
      </c>
      <c r="D65" s="53">
        <f t="shared" si="0"/>
        <v>1133.2404085722037</v>
      </c>
      <c r="E65" s="53">
        <f t="shared" si="1"/>
        <v>431.7016009371482</v>
      </c>
      <c r="F65" s="53">
        <f t="shared" si="2"/>
        <v>285860.6121436195</v>
      </c>
      <c r="G65" s="53">
        <f t="shared" si="5"/>
        <v>40633.58247644689</v>
      </c>
    </row>
    <row r="66" spans="1:7" ht="12.75">
      <c r="A66" s="51">
        <f t="shared" si="3"/>
        <v>36</v>
      </c>
      <c r="B66" s="52">
        <f>IF('Tabla de Amortización'!A66&lt;&gt;"",DATE(YEAR([0]!Primer_pago),MONTH([0]!Primer_pago)+('Tabla de Amortización'!A66-1)*12/Pagos_por_año,DAY([0]!Primer_pago)),"")</f>
        <v>39539</v>
      </c>
      <c r="C66" s="53">
        <f t="shared" si="4"/>
        <v>285860.6121436195</v>
      </c>
      <c r="D66" s="53">
        <f t="shared" si="0"/>
        <v>1131.5315897351607</v>
      </c>
      <c r="E66" s="53">
        <f t="shared" si="1"/>
        <v>433.41041977419127</v>
      </c>
      <c r="F66" s="53">
        <f t="shared" si="2"/>
        <v>285427.2017238453</v>
      </c>
      <c r="G66" s="53">
        <f t="shared" si="5"/>
        <v>41765.114066182054</v>
      </c>
    </row>
    <row r="67" spans="1:7" ht="12.75">
      <c r="A67" s="51">
        <f t="shared" si="3"/>
        <v>37</v>
      </c>
      <c r="B67" s="52">
        <f>IF('Tabla de Amortización'!A67&lt;&gt;"",DATE(YEAR([0]!Primer_pago),MONTH([0]!Primer_pago)+('Tabla de Amortización'!A67-1)*12/Pagos_por_año,DAY([0]!Primer_pago)),"")</f>
        <v>39569</v>
      </c>
      <c r="C67" s="53">
        <f t="shared" si="4"/>
        <v>285427.2017238453</v>
      </c>
      <c r="D67" s="53">
        <f t="shared" si="0"/>
        <v>1129.8160068235545</v>
      </c>
      <c r="E67" s="53">
        <f t="shared" si="1"/>
        <v>435.1260026857974</v>
      </c>
      <c r="F67" s="53">
        <f t="shared" si="2"/>
        <v>284992.0757211595</v>
      </c>
      <c r="G67" s="53">
        <f t="shared" si="5"/>
        <v>42894.930073005606</v>
      </c>
    </row>
    <row r="68" spans="1:7" ht="12.75">
      <c r="A68" s="51">
        <f t="shared" si="3"/>
        <v>38</v>
      </c>
      <c r="B68" s="52">
        <f>IF('Tabla de Amortización'!A68&lt;&gt;"",DATE(YEAR([0]!Primer_pago),MONTH([0]!Primer_pago)+('Tabla de Amortización'!A68-1)*12/Pagos_por_año,DAY([0]!Primer_pago)),"")</f>
        <v>39600</v>
      </c>
      <c r="C68" s="53">
        <f t="shared" si="4"/>
        <v>284992.0757211595</v>
      </c>
      <c r="D68" s="53">
        <f t="shared" si="0"/>
        <v>1128.0936330629231</v>
      </c>
      <c r="E68" s="53">
        <f t="shared" si="1"/>
        <v>436.8483764464288</v>
      </c>
      <c r="F68" s="53">
        <f t="shared" si="2"/>
        <v>284555.2273447131</v>
      </c>
      <c r="G68" s="53">
        <f t="shared" si="5"/>
        <v>44023.02370606853</v>
      </c>
    </row>
    <row r="69" spans="1:7" ht="12.75">
      <c r="A69" s="51">
        <f t="shared" si="3"/>
        <v>39</v>
      </c>
      <c r="B69" s="52">
        <f>IF('Tabla de Amortización'!A69&lt;&gt;"",DATE(YEAR([0]!Primer_pago),MONTH([0]!Primer_pago)+('Tabla de Amortización'!A69-1)*12/Pagos_por_año,DAY([0]!Primer_pago)),"")</f>
        <v>39630</v>
      </c>
      <c r="C69" s="53">
        <f t="shared" si="4"/>
        <v>284555.2273447131</v>
      </c>
      <c r="D69" s="53">
        <f t="shared" si="0"/>
        <v>1126.364441572823</v>
      </c>
      <c r="E69" s="53">
        <f t="shared" si="1"/>
        <v>438.577567936529</v>
      </c>
      <c r="F69" s="53">
        <f t="shared" si="2"/>
        <v>284116.6497767766</v>
      </c>
      <c r="G69" s="53">
        <f t="shared" si="5"/>
        <v>45149.38814764135</v>
      </c>
    </row>
    <row r="70" spans="1:7" ht="12.75">
      <c r="A70" s="51">
        <f t="shared" si="3"/>
        <v>40</v>
      </c>
      <c r="B70" s="52">
        <f>IF('Tabla de Amortización'!A70&lt;&gt;"",DATE(YEAR([0]!Primer_pago),MONTH([0]!Primer_pago)+('Tabla de Amortización'!A70-1)*12/Pagos_por_año,DAY([0]!Primer_pago)),"")</f>
        <v>39661</v>
      </c>
      <c r="C70" s="53">
        <f t="shared" si="4"/>
        <v>284116.6497767766</v>
      </c>
      <c r="D70" s="53">
        <f t="shared" si="0"/>
        <v>1124.6284053664076</v>
      </c>
      <c r="E70" s="53">
        <f t="shared" si="1"/>
        <v>440.3136041429443</v>
      </c>
      <c r="F70" s="53">
        <f t="shared" si="2"/>
        <v>283676.3361726337</v>
      </c>
      <c r="G70" s="53">
        <f t="shared" si="5"/>
        <v>46274.01655300776</v>
      </c>
    </row>
    <row r="71" spans="1:7" ht="12.75">
      <c r="A71" s="51">
        <f t="shared" si="3"/>
        <v>41</v>
      </c>
      <c r="B71" s="52">
        <f>IF('Tabla de Amortización'!A71&lt;&gt;"",DATE(YEAR([0]!Primer_pago),MONTH([0]!Primer_pago)+('Tabla de Amortización'!A71-1)*12/Pagos_por_año,DAY([0]!Primer_pago)),"")</f>
        <v>39692</v>
      </c>
      <c r="C71" s="53">
        <f t="shared" si="4"/>
        <v>283676.3361726337</v>
      </c>
      <c r="D71" s="53">
        <f t="shared" si="0"/>
        <v>1122.8854973500083</v>
      </c>
      <c r="E71" s="53">
        <f t="shared" si="1"/>
        <v>442.0565121593436</v>
      </c>
      <c r="F71" s="53">
        <f t="shared" si="2"/>
        <v>283234.27966047433</v>
      </c>
      <c r="G71" s="53">
        <f t="shared" si="5"/>
        <v>47396.90205035776</v>
      </c>
    </row>
    <row r="72" spans="1:7" ht="12.75">
      <c r="A72" s="51">
        <f t="shared" si="3"/>
        <v>42</v>
      </c>
      <c r="B72" s="52">
        <f>IF('Tabla de Amortización'!A72&lt;&gt;"",DATE(YEAR([0]!Primer_pago),MONTH([0]!Primer_pago)+('Tabla de Amortización'!A72-1)*12/Pagos_por_año,DAY([0]!Primer_pago)),"")</f>
        <v>39722</v>
      </c>
      <c r="C72" s="53">
        <f t="shared" si="4"/>
        <v>283234.27966047433</v>
      </c>
      <c r="D72" s="53">
        <f t="shared" si="0"/>
        <v>1121.135690322711</v>
      </c>
      <c r="E72" s="53">
        <f t="shared" si="1"/>
        <v>443.80631918664085</v>
      </c>
      <c r="F72" s="53">
        <f t="shared" si="2"/>
        <v>282790.4733412877</v>
      </c>
      <c r="G72" s="53">
        <f t="shared" si="5"/>
        <v>48518.03774068048</v>
      </c>
    </row>
    <row r="73" spans="1:7" ht="12.75">
      <c r="A73" s="51">
        <f t="shared" si="3"/>
        <v>43</v>
      </c>
      <c r="B73" s="52">
        <f>IF('Tabla de Amortización'!A73&lt;&gt;"",DATE(YEAR([0]!Primer_pago),MONTH([0]!Primer_pago)+('Tabla de Amortización'!A73-1)*12/Pagos_por_año,DAY([0]!Primer_pago)),"")</f>
        <v>39753</v>
      </c>
      <c r="C73" s="53">
        <f t="shared" si="4"/>
        <v>282790.4733412877</v>
      </c>
      <c r="D73" s="53">
        <f t="shared" si="0"/>
        <v>1119.3789569759306</v>
      </c>
      <c r="E73" s="53">
        <f t="shared" si="1"/>
        <v>445.56305253342134</v>
      </c>
      <c r="F73" s="53">
        <f t="shared" si="2"/>
        <v>282344.91028875427</v>
      </c>
      <c r="G73" s="53">
        <f t="shared" si="5"/>
        <v>49637.41669765641</v>
      </c>
    </row>
    <row r="74" spans="1:7" ht="12.75">
      <c r="A74" s="51">
        <f t="shared" si="3"/>
        <v>44</v>
      </c>
      <c r="B74" s="52">
        <f>IF('Tabla de Amortización'!A74&lt;&gt;"",DATE(YEAR([0]!Primer_pago),MONTH([0]!Primer_pago)+('Tabla de Amortización'!A74-1)*12/Pagos_por_año,DAY([0]!Primer_pago)),"")</f>
        <v>39783</v>
      </c>
      <c r="C74" s="53">
        <f t="shared" si="4"/>
        <v>282344.91028875427</v>
      </c>
      <c r="D74" s="53">
        <f t="shared" si="0"/>
        <v>1117.6152698929857</v>
      </c>
      <c r="E74" s="53">
        <f t="shared" si="1"/>
        <v>447.32673961636624</v>
      </c>
      <c r="F74" s="53">
        <f t="shared" si="2"/>
        <v>281897.5835491379</v>
      </c>
      <c r="G74" s="53">
        <f t="shared" si="5"/>
        <v>50755.031967549396</v>
      </c>
    </row>
    <row r="75" spans="1:7" ht="12.75">
      <c r="A75" s="51">
        <f t="shared" si="3"/>
        <v>45</v>
      </c>
      <c r="B75" s="52">
        <f>IF('Tabla de Amortización'!A75&lt;&gt;"",DATE(YEAR([0]!Primer_pago),MONTH([0]!Primer_pago)+('Tabla de Amortización'!A75-1)*12/Pagos_por_año,DAY([0]!Primer_pago)),"")</f>
        <v>39814</v>
      </c>
      <c r="C75" s="53">
        <f t="shared" si="4"/>
        <v>281897.5835491379</v>
      </c>
      <c r="D75" s="53">
        <f t="shared" si="0"/>
        <v>1115.844601548671</v>
      </c>
      <c r="E75" s="53">
        <f t="shared" si="1"/>
        <v>449.0974079606808</v>
      </c>
      <c r="F75" s="53">
        <f t="shared" si="2"/>
        <v>281448.48614117724</v>
      </c>
      <c r="G75" s="53">
        <f t="shared" si="5"/>
        <v>51870.876569098065</v>
      </c>
    </row>
    <row r="76" spans="1:7" ht="12.75">
      <c r="A76" s="51">
        <f t="shared" si="3"/>
        <v>46</v>
      </c>
      <c r="B76" s="52">
        <f>IF('Tabla de Amortización'!A76&lt;&gt;"",DATE(YEAR([0]!Primer_pago),MONTH([0]!Primer_pago)+('Tabla de Amortización'!A76-1)*12/Pagos_por_año,DAY([0]!Primer_pago)),"")</f>
        <v>39845</v>
      </c>
      <c r="C76" s="53">
        <f t="shared" si="4"/>
        <v>281448.48614117724</v>
      </c>
      <c r="D76" s="53">
        <f t="shared" si="0"/>
        <v>1114.0669243088266</v>
      </c>
      <c r="E76" s="53">
        <f t="shared" si="1"/>
        <v>450.8750852005253</v>
      </c>
      <c r="F76" s="53">
        <f t="shared" si="2"/>
        <v>280997.6110559767</v>
      </c>
      <c r="G76" s="53">
        <f t="shared" si="5"/>
        <v>52984.94349340689</v>
      </c>
    </row>
    <row r="77" spans="1:7" ht="12.75">
      <c r="A77" s="51">
        <f t="shared" si="3"/>
        <v>47</v>
      </c>
      <c r="B77" s="52">
        <f>IF('Tabla de Amortización'!A77&lt;&gt;"",DATE(YEAR([0]!Primer_pago),MONTH([0]!Primer_pago)+('Tabla de Amortización'!A77-1)*12/Pagos_por_año,DAY([0]!Primer_pago)),"")</f>
        <v>39873</v>
      </c>
      <c r="C77" s="53">
        <f t="shared" si="4"/>
        <v>280997.6110559767</v>
      </c>
      <c r="D77" s="53">
        <f t="shared" si="0"/>
        <v>1112.282210429908</v>
      </c>
      <c r="E77" s="53">
        <f t="shared" si="1"/>
        <v>452.6597990794439</v>
      </c>
      <c r="F77" s="53">
        <f t="shared" si="2"/>
        <v>280544.95125689724</v>
      </c>
      <c r="G77" s="53">
        <f t="shared" si="5"/>
        <v>54097.2257038368</v>
      </c>
    </row>
    <row r="78" spans="1:7" ht="12.75">
      <c r="A78" s="51">
        <f t="shared" si="3"/>
        <v>48</v>
      </c>
      <c r="B78" s="52">
        <f>IF('Tabla de Amortización'!A78&lt;&gt;"",DATE(YEAR([0]!Primer_pago),MONTH([0]!Primer_pago)+('Tabla de Amortización'!A78-1)*12/Pagos_por_año,DAY([0]!Primer_pago)),"")</f>
        <v>39904</v>
      </c>
      <c r="C78" s="53">
        <f t="shared" si="4"/>
        <v>280544.95125689724</v>
      </c>
      <c r="D78" s="53">
        <f t="shared" si="0"/>
        <v>1110.4904320585517</v>
      </c>
      <c r="E78" s="53">
        <f t="shared" si="1"/>
        <v>454.4515774508002</v>
      </c>
      <c r="F78" s="53">
        <f t="shared" si="2"/>
        <v>280090.49967944645</v>
      </c>
      <c r="G78" s="53">
        <f t="shared" si="5"/>
        <v>55207.716135895345</v>
      </c>
    </row>
    <row r="79" spans="1:7" ht="12.75">
      <c r="A79" s="51">
        <f t="shared" si="3"/>
        <v>49</v>
      </c>
      <c r="B79" s="52">
        <f>IF('Tabla de Amortización'!A79&lt;&gt;"",DATE(YEAR([0]!Primer_pago),MONTH([0]!Primer_pago)+('Tabla de Amortización'!A79-1)*12/Pagos_por_año,DAY([0]!Primer_pago)),"")</f>
        <v>39934</v>
      </c>
      <c r="C79" s="53">
        <f t="shared" si="4"/>
        <v>280090.49967944645</v>
      </c>
      <c r="D79" s="53">
        <f t="shared" si="0"/>
        <v>1108.6915612311423</v>
      </c>
      <c r="E79" s="53">
        <f t="shared" si="1"/>
        <v>456.25044827820966</v>
      </c>
      <c r="F79" s="53">
        <f t="shared" si="2"/>
        <v>279634.24923116824</v>
      </c>
      <c r="G79" s="53">
        <f t="shared" si="5"/>
        <v>56316.40769712649</v>
      </c>
    </row>
    <row r="80" spans="1:7" ht="12.75">
      <c r="A80" s="51">
        <f t="shared" si="3"/>
        <v>50</v>
      </c>
      <c r="B80" s="52">
        <f>IF('Tabla de Amortización'!A80&lt;&gt;"",DATE(YEAR([0]!Primer_pago),MONTH([0]!Primer_pago)+('Tabla de Amortización'!A80-1)*12/Pagos_por_año,DAY([0]!Primer_pago)),"")</f>
        <v>39965</v>
      </c>
      <c r="C80" s="53">
        <f t="shared" si="4"/>
        <v>279634.24923116824</v>
      </c>
      <c r="D80" s="53">
        <f t="shared" si="0"/>
        <v>1106.8855698733744</v>
      </c>
      <c r="E80" s="53">
        <f t="shared" si="1"/>
        <v>458.05643963597754</v>
      </c>
      <c r="F80" s="53">
        <f t="shared" si="2"/>
        <v>279176.19279153226</v>
      </c>
      <c r="G80" s="53">
        <f t="shared" si="5"/>
        <v>57423.29326699986</v>
      </c>
    </row>
    <row r="81" spans="1:7" ht="12.75">
      <c r="A81" s="51">
        <f t="shared" si="3"/>
        <v>51</v>
      </c>
      <c r="B81" s="52">
        <f>IF('Tabla de Amortización'!A81&lt;&gt;"",DATE(YEAR([0]!Primer_pago),MONTH([0]!Primer_pago)+('Tabla de Amortización'!A81-1)*12/Pagos_por_año,DAY([0]!Primer_pago)),"")</f>
        <v>39995</v>
      </c>
      <c r="C81" s="53">
        <f t="shared" si="4"/>
        <v>279176.19279153226</v>
      </c>
      <c r="D81" s="53">
        <f t="shared" si="0"/>
        <v>1105.0724297998154</v>
      </c>
      <c r="E81" s="53">
        <f t="shared" si="1"/>
        <v>459.86957970953654</v>
      </c>
      <c r="F81" s="53">
        <f t="shared" si="2"/>
        <v>278716.3232118227</v>
      </c>
      <c r="G81" s="53">
        <f t="shared" si="5"/>
        <v>58528.36569679968</v>
      </c>
    </row>
    <row r="82" spans="1:7" ht="12.75">
      <c r="A82" s="51">
        <f t="shared" si="3"/>
        <v>52</v>
      </c>
      <c r="B82" s="52">
        <f>IF('Tabla de Amortización'!A82&lt;&gt;"",DATE(YEAR([0]!Primer_pago),MONTH([0]!Primer_pago)+('Tabla de Amortización'!A82-1)*12/Pagos_por_año,DAY([0]!Primer_pago)),"")</f>
        <v>40026</v>
      </c>
      <c r="C82" s="53">
        <f t="shared" si="4"/>
        <v>278716.3232118227</v>
      </c>
      <c r="D82" s="53">
        <f t="shared" si="0"/>
        <v>1103.252112713465</v>
      </c>
      <c r="E82" s="53">
        <f t="shared" si="1"/>
        <v>461.68989679588685</v>
      </c>
      <c r="F82" s="53">
        <f t="shared" si="2"/>
        <v>278254.6333150268</v>
      </c>
      <c r="G82" s="53">
        <f t="shared" si="5"/>
        <v>59631.61780951315</v>
      </c>
    </row>
    <row r="83" spans="1:7" ht="12.75">
      <c r="A83" s="51">
        <f t="shared" si="3"/>
        <v>53</v>
      </c>
      <c r="B83" s="52">
        <f>IF('Tabla de Amortización'!A83&lt;&gt;"",DATE(YEAR([0]!Primer_pago),MONTH([0]!Primer_pago)+('Tabla de Amortización'!A83-1)*12/Pagos_por_año,DAY([0]!Primer_pago)),"")</f>
        <v>40057</v>
      </c>
      <c r="C83" s="53">
        <f t="shared" si="4"/>
        <v>278254.6333150268</v>
      </c>
      <c r="D83" s="53">
        <f t="shared" si="0"/>
        <v>1101.4245902053146</v>
      </c>
      <c r="E83" s="53">
        <f t="shared" si="1"/>
        <v>463.5174193040373</v>
      </c>
      <c r="F83" s="53">
        <f t="shared" si="2"/>
        <v>277791.11589572276</v>
      </c>
      <c r="G83" s="53">
        <f t="shared" si="5"/>
        <v>60733.04239971846</v>
      </c>
    </row>
    <row r="84" spans="1:7" ht="12.75">
      <c r="A84" s="51">
        <f t="shared" si="3"/>
        <v>54</v>
      </c>
      <c r="B84" s="52">
        <f>IF('Tabla de Amortización'!A84&lt;&gt;"",DATE(YEAR([0]!Primer_pago),MONTH([0]!Primer_pago)+('Tabla de Amortización'!A84-1)*12/Pagos_por_año,DAY([0]!Primer_pago)),"")</f>
        <v>40087</v>
      </c>
      <c r="C84" s="53">
        <f t="shared" si="4"/>
        <v>277791.11589572276</v>
      </c>
      <c r="D84" s="53">
        <f t="shared" si="0"/>
        <v>1099.5898337539027</v>
      </c>
      <c r="E84" s="53">
        <f t="shared" si="1"/>
        <v>465.35217575544925</v>
      </c>
      <c r="F84" s="53">
        <f t="shared" si="2"/>
        <v>277325.76371996733</v>
      </c>
      <c r="G84" s="53">
        <f t="shared" si="5"/>
        <v>61832.632233472366</v>
      </c>
    </row>
    <row r="85" spans="1:7" ht="12.75">
      <c r="A85" s="51">
        <f t="shared" si="3"/>
        <v>55</v>
      </c>
      <c r="B85" s="52">
        <f>IF('Tabla de Amortización'!A85&lt;&gt;"",DATE(YEAR([0]!Primer_pago),MONTH([0]!Primer_pago)+('Tabla de Amortización'!A85-1)*12/Pagos_por_año,DAY([0]!Primer_pago)),"")</f>
        <v>40118</v>
      </c>
      <c r="C85" s="53">
        <f t="shared" si="4"/>
        <v>277325.76371996733</v>
      </c>
      <c r="D85" s="53">
        <f t="shared" si="0"/>
        <v>1097.7478147248708</v>
      </c>
      <c r="E85" s="53">
        <f t="shared" si="1"/>
        <v>467.19419478448117</v>
      </c>
      <c r="F85" s="53">
        <f t="shared" si="2"/>
        <v>276858.56952518283</v>
      </c>
      <c r="G85" s="53">
        <f t="shared" si="5"/>
        <v>62930.380048197236</v>
      </c>
    </row>
    <row r="86" spans="1:7" ht="12.75">
      <c r="A86" s="51">
        <f t="shared" si="3"/>
        <v>56</v>
      </c>
      <c r="B86" s="52">
        <f>IF('Tabla de Amortización'!A86&lt;&gt;"",DATE(YEAR([0]!Primer_pago),MONTH([0]!Primer_pago)+('Tabla de Amortización'!A86-1)*12/Pagos_por_año,DAY([0]!Primer_pago)),"")</f>
        <v>40148</v>
      </c>
      <c r="C86" s="53">
        <f t="shared" si="4"/>
        <v>276858.56952518283</v>
      </c>
      <c r="D86" s="53">
        <f t="shared" si="0"/>
        <v>1095.8985043705154</v>
      </c>
      <c r="E86" s="53">
        <f t="shared" si="1"/>
        <v>469.0435051388365</v>
      </c>
      <c r="F86" s="53">
        <f t="shared" si="2"/>
        <v>276389.526020044</v>
      </c>
      <c r="G86" s="53">
        <f t="shared" si="5"/>
        <v>64026.278552567754</v>
      </c>
    </row>
    <row r="87" spans="1:7" ht="12.75">
      <c r="A87" s="51">
        <f t="shared" si="3"/>
        <v>57</v>
      </c>
      <c r="B87" s="52">
        <f>IF('Tabla de Amortización'!A87&lt;&gt;"",DATE(YEAR([0]!Primer_pago),MONTH([0]!Primer_pago)+('Tabla de Amortización'!A87-1)*12/Pagos_por_año,DAY([0]!Primer_pago)),"")</f>
        <v>40179</v>
      </c>
      <c r="C87" s="53">
        <f t="shared" si="4"/>
        <v>276389.526020044</v>
      </c>
      <c r="D87" s="53">
        <f t="shared" si="0"/>
        <v>1094.0418738293408</v>
      </c>
      <c r="E87" s="53">
        <f t="shared" si="1"/>
        <v>470.9001356800111</v>
      </c>
      <c r="F87" s="53">
        <f t="shared" si="2"/>
        <v>275918.625884364</v>
      </c>
      <c r="G87" s="53">
        <f t="shared" si="5"/>
        <v>65120.32042639709</v>
      </c>
    </row>
    <row r="88" spans="1:7" ht="12.75">
      <c r="A88" s="51">
        <f t="shared" si="3"/>
        <v>58</v>
      </c>
      <c r="B88" s="52">
        <f>IF('Tabla de Amortización'!A88&lt;&gt;"",DATE(YEAR([0]!Primer_pago),MONTH([0]!Primer_pago)+('Tabla de Amortización'!A88-1)*12/Pagos_por_año,DAY([0]!Primer_pago)),"")</f>
        <v>40210</v>
      </c>
      <c r="C88" s="53">
        <f t="shared" si="4"/>
        <v>275918.625884364</v>
      </c>
      <c r="D88" s="53">
        <f t="shared" si="0"/>
        <v>1092.1778941256077</v>
      </c>
      <c r="E88" s="53">
        <f t="shared" si="1"/>
        <v>472.7641153837442</v>
      </c>
      <c r="F88" s="53">
        <f t="shared" si="2"/>
        <v>275445.8617689803</v>
      </c>
      <c r="G88" s="53">
        <f t="shared" si="5"/>
        <v>66212.4983205227</v>
      </c>
    </row>
    <row r="89" spans="1:7" ht="12.75">
      <c r="A89" s="51">
        <f t="shared" si="3"/>
        <v>59</v>
      </c>
      <c r="B89" s="52">
        <f>IF('Tabla de Amortización'!A89&lt;&gt;"",DATE(YEAR([0]!Primer_pago),MONTH([0]!Primer_pago)+('Tabla de Amortización'!A89-1)*12/Pagos_por_año,DAY([0]!Primer_pago)),"")</f>
        <v>40238</v>
      </c>
      <c r="C89" s="53">
        <f t="shared" si="4"/>
        <v>275445.8617689803</v>
      </c>
      <c r="D89" s="53">
        <f t="shared" si="0"/>
        <v>1090.3065361688803</v>
      </c>
      <c r="E89" s="53">
        <f t="shared" si="1"/>
        <v>474.63547334047166</v>
      </c>
      <c r="F89" s="53">
        <f t="shared" si="2"/>
        <v>274971.2262956398</v>
      </c>
      <c r="G89" s="53">
        <f t="shared" si="5"/>
        <v>67302.80485669158</v>
      </c>
    </row>
    <row r="90" spans="1:7" ht="12.75">
      <c r="A90" s="51">
        <f t="shared" si="3"/>
        <v>60</v>
      </c>
      <c r="B90" s="52">
        <f>IF('Tabla de Amortización'!A90&lt;&gt;"",DATE(YEAR([0]!Primer_pago),MONTH([0]!Primer_pago)+('Tabla de Amortización'!A90-1)*12/Pagos_por_año,DAY([0]!Primer_pago)),"")</f>
        <v>40269</v>
      </c>
      <c r="C90" s="53">
        <f t="shared" si="4"/>
        <v>274971.2262956398</v>
      </c>
      <c r="D90" s="53">
        <f t="shared" si="0"/>
        <v>1088.4277707535744</v>
      </c>
      <c r="E90" s="53">
        <f t="shared" si="1"/>
        <v>476.51423875577757</v>
      </c>
      <c r="F90" s="53">
        <f t="shared" si="2"/>
        <v>274494.712056884</v>
      </c>
      <c r="G90" s="53">
        <f t="shared" si="5"/>
        <v>68391.23262744516</v>
      </c>
    </row>
    <row r="91" spans="1:7" ht="12.75">
      <c r="A91" s="51">
        <f t="shared" si="3"/>
        <v>61</v>
      </c>
      <c r="B91" s="52">
        <f>IF('Tabla de Amortización'!A91&lt;&gt;"",DATE(YEAR([0]!Primer_pago),MONTH([0]!Primer_pago)+('Tabla de Amortización'!A91-1)*12/Pagos_por_año,DAY([0]!Primer_pago)),"")</f>
        <v>40299</v>
      </c>
      <c r="C91" s="53">
        <f t="shared" si="4"/>
        <v>274494.712056884</v>
      </c>
      <c r="D91" s="53">
        <f t="shared" si="0"/>
        <v>1086.5415685584994</v>
      </c>
      <c r="E91" s="53">
        <f t="shared" si="1"/>
        <v>478.4004409508525</v>
      </c>
      <c r="F91" s="53">
        <f t="shared" si="2"/>
        <v>274016.31161593314</v>
      </c>
      <c r="G91" s="53">
        <f t="shared" si="5"/>
        <v>69477.77419600367</v>
      </c>
    </row>
    <row r="92" spans="1:7" ht="12.75">
      <c r="A92" s="51">
        <f t="shared" si="3"/>
        <v>62</v>
      </c>
      <c r="B92" s="52">
        <f>IF('Tabla de Amortización'!A92&lt;&gt;"",DATE(YEAR([0]!Primer_pago),MONTH([0]!Primer_pago)+('Tabla de Amortización'!A92-1)*12/Pagos_por_año,DAY([0]!Primer_pago)),"")</f>
        <v>40330</v>
      </c>
      <c r="C92" s="53">
        <f t="shared" si="4"/>
        <v>274016.31161593314</v>
      </c>
      <c r="D92" s="53">
        <f t="shared" si="0"/>
        <v>1084.6479001464022</v>
      </c>
      <c r="E92" s="53">
        <f t="shared" si="1"/>
        <v>480.2941093629497</v>
      </c>
      <c r="F92" s="53">
        <f t="shared" si="2"/>
        <v>273536.0175065702</v>
      </c>
      <c r="G92" s="53">
        <f t="shared" si="5"/>
        <v>70562.42209615007</v>
      </c>
    </row>
    <row r="93" spans="1:7" ht="12.75">
      <c r="A93" s="51">
        <f t="shared" si="3"/>
        <v>63</v>
      </c>
      <c r="B93" s="52">
        <f>IF('Tabla de Amortización'!A93&lt;&gt;"",DATE(YEAR([0]!Primer_pago),MONTH([0]!Primer_pago)+('Tabla de Amortización'!A93-1)*12/Pagos_por_año,DAY([0]!Primer_pago)),"")</f>
        <v>40360</v>
      </c>
      <c r="C93" s="53">
        <f t="shared" si="4"/>
        <v>273536.0175065702</v>
      </c>
      <c r="D93" s="53">
        <f t="shared" si="0"/>
        <v>1082.7467359635073</v>
      </c>
      <c r="E93" s="53">
        <f t="shared" si="1"/>
        <v>482.19527354584466</v>
      </c>
      <c r="F93" s="53">
        <f t="shared" si="2"/>
        <v>273053.82223302434</v>
      </c>
      <c r="G93" s="53">
        <f t="shared" si="5"/>
        <v>71645.16883211357</v>
      </c>
    </row>
    <row r="94" spans="1:7" ht="12.75">
      <c r="A94" s="51">
        <f t="shared" si="3"/>
        <v>64</v>
      </c>
      <c r="B94" s="52">
        <f>IF('Tabla de Amortización'!A94&lt;&gt;"",DATE(YEAR([0]!Primer_pago),MONTH([0]!Primer_pago)+('Tabla de Amortización'!A94-1)*12/Pagos_por_año,DAY([0]!Primer_pago)),"")</f>
        <v>40391</v>
      </c>
      <c r="C94" s="53">
        <f t="shared" si="4"/>
        <v>273053.82223302434</v>
      </c>
      <c r="D94" s="53">
        <f t="shared" si="0"/>
        <v>1080.8380463390547</v>
      </c>
      <c r="E94" s="53">
        <f t="shared" si="1"/>
        <v>484.1039631702972</v>
      </c>
      <c r="F94" s="53">
        <f t="shared" si="2"/>
        <v>272569.718269854</v>
      </c>
      <c r="G94" s="53">
        <f t="shared" si="5"/>
        <v>72726.00687845262</v>
      </c>
    </row>
    <row r="95" spans="1:7" ht="12.75">
      <c r="A95" s="51">
        <f t="shared" si="3"/>
        <v>65</v>
      </c>
      <c r="B95" s="52">
        <f>IF('Tabla de Amortización'!A95&lt;&gt;"",DATE(YEAR([0]!Primer_pago),MONTH([0]!Primer_pago)+('Tabla de Amortización'!A95-1)*12/Pagos_por_año,DAY([0]!Primer_pago)),"")</f>
        <v>40422</v>
      </c>
      <c r="C95" s="53">
        <f t="shared" si="4"/>
        <v>272569.718269854</v>
      </c>
      <c r="D95" s="53">
        <f aca="true" t="shared" si="6" ref="D95:D158">Interés</f>
        <v>1078.9218014848389</v>
      </c>
      <c r="E95" s="53">
        <f aca="true" t="shared" si="7" ref="E95:E158">Capital</f>
        <v>486.02020802451307</v>
      </c>
      <c r="F95" s="53">
        <f aca="true" t="shared" si="8" ref="F95:F158">Saldo.Final</f>
        <v>272083.6980618295</v>
      </c>
      <c r="G95" s="53">
        <f t="shared" si="5"/>
        <v>73804.92867993747</v>
      </c>
    </row>
    <row r="96" spans="1:7" ht="12.75">
      <c r="A96" s="51">
        <f aca="true" t="shared" si="9" ref="A96:A159">IF(OR(A95="",A95=Total_Pagos),"",A95+1)</f>
        <v>66</v>
      </c>
      <c r="B96" s="52">
        <f>IF('Tabla de Amortización'!A96&lt;&gt;"",DATE(YEAR([0]!Primer_pago),MONTH([0]!Primer_pago)+('Tabla de Amortización'!A96-1)*12/Pagos_por_año,DAY([0]!Primer_pago)),"")</f>
        <v>40452</v>
      </c>
      <c r="C96" s="53">
        <f aca="true" t="shared" si="10" ref="C96:C159">Saldo.Inicial</f>
        <v>272083.6980618295</v>
      </c>
      <c r="D96" s="53">
        <f t="shared" si="6"/>
        <v>1076.997971494742</v>
      </c>
      <c r="E96" s="53">
        <f t="shared" si="7"/>
        <v>487.94403801461</v>
      </c>
      <c r="F96" s="53">
        <f t="shared" si="8"/>
        <v>271595.75402381486</v>
      </c>
      <c r="G96" s="53">
        <f aca="true" t="shared" si="11" ref="G96:G159">Interés.Acum</f>
        <v>74881.92665143221</v>
      </c>
    </row>
    <row r="97" spans="1:7" ht="12.75">
      <c r="A97" s="51">
        <f t="shared" si="9"/>
        <v>67</v>
      </c>
      <c r="B97" s="52">
        <f>IF('Tabla de Amortización'!A97&lt;&gt;"",DATE(YEAR([0]!Primer_pago),MONTH([0]!Primer_pago)+('Tabla de Amortización'!A97-1)*12/Pagos_por_año,DAY([0]!Primer_pago)),"")</f>
        <v>40483</v>
      </c>
      <c r="C97" s="53">
        <f t="shared" si="10"/>
        <v>271595.75402381486</v>
      </c>
      <c r="D97" s="53">
        <f t="shared" si="6"/>
        <v>1075.0665263442672</v>
      </c>
      <c r="E97" s="53">
        <f t="shared" si="7"/>
        <v>489.8754831650847</v>
      </c>
      <c r="F97" s="53">
        <f t="shared" si="8"/>
        <v>271105.8785406498</v>
      </c>
      <c r="G97" s="53">
        <f t="shared" si="11"/>
        <v>75956.99317777647</v>
      </c>
    </row>
    <row r="98" spans="1:7" ht="12.75">
      <c r="A98" s="51">
        <f t="shared" si="9"/>
        <v>68</v>
      </c>
      <c r="B98" s="52">
        <f>IF('Tabla de Amortización'!A98&lt;&gt;"",DATE(YEAR([0]!Primer_pago),MONTH([0]!Primer_pago)+('Tabla de Amortización'!A98-1)*12/Pagos_por_año,DAY([0]!Primer_pago)),"")</f>
        <v>40513</v>
      </c>
      <c r="C98" s="53">
        <f t="shared" si="10"/>
        <v>271105.8785406498</v>
      </c>
      <c r="D98" s="53">
        <f t="shared" si="6"/>
        <v>1073.127435890072</v>
      </c>
      <c r="E98" s="53">
        <f t="shared" si="7"/>
        <v>491.8145736192798</v>
      </c>
      <c r="F98" s="53">
        <f t="shared" si="8"/>
        <v>270614.0639670305</v>
      </c>
      <c r="G98" s="53">
        <f t="shared" si="11"/>
        <v>77030.12061366654</v>
      </c>
    </row>
    <row r="99" spans="1:7" ht="12.75">
      <c r="A99" s="51">
        <f t="shared" si="9"/>
        <v>69</v>
      </c>
      <c r="B99" s="52">
        <f>IF('Tabla de Amortización'!A99&lt;&gt;"",DATE(YEAR([0]!Primer_pago),MONTH([0]!Primer_pago)+('Tabla de Amortización'!A99-1)*12/Pagos_por_año,DAY([0]!Primer_pago)),"")</f>
        <v>40544</v>
      </c>
      <c r="C99" s="53">
        <f t="shared" si="10"/>
        <v>270614.0639670305</v>
      </c>
      <c r="D99" s="53">
        <f t="shared" si="6"/>
        <v>1071.180669869496</v>
      </c>
      <c r="E99" s="53">
        <f t="shared" si="7"/>
        <v>493.76133963985603</v>
      </c>
      <c r="F99" s="53">
        <f t="shared" si="8"/>
        <v>270120.30262739066</v>
      </c>
      <c r="G99" s="53">
        <f t="shared" si="11"/>
        <v>78101.30128353604</v>
      </c>
    </row>
    <row r="100" spans="1:7" ht="12.75">
      <c r="A100" s="51">
        <f t="shared" si="9"/>
        <v>70</v>
      </c>
      <c r="B100" s="52">
        <f>IF('Tabla de Amortización'!A100&lt;&gt;"",DATE(YEAR([0]!Primer_pago),MONTH([0]!Primer_pago)+('Tabla de Amortización'!A100-1)*12/Pagos_por_año,DAY([0]!Primer_pago)),"")</f>
        <v>40575</v>
      </c>
      <c r="C100" s="53">
        <f t="shared" si="10"/>
        <v>270120.30262739066</v>
      </c>
      <c r="D100" s="53">
        <f t="shared" si="6"/>
        <v>1069.2261979000882</v>
      </c>
      <c r="E100" s="53">
        <f t="shared" si="7"/>
        <v>495.7158116092637</v>
      </c>
      <c r="F100" s="53">
        <f t="shared" si="8"/>
        <v>269624.58681578137</v>
      </c>
      <c r="G100" s="53">
        <f t="shared" si="11"/>
        <v>79170.52748143613</v>
      </c>
    </row>
    <row r="101" spans="1:7" ht="12.75">
      <c r="A101" s="51">
        <f t="shared" si="9"/>
        <v>71</v>
      </c>
      <c r="B101" s="52">
        <f>IF('Tabla de Amortización'!A101&lt;&gt;"",DATE(YEAR([0]!Primer_pago),MONTH([0]!Primer_pago)+('Tabla de Amortización'!A101-1)*12/Pagos_por_año,DAY([0]!Primer_pago)),"")</f>
        <v>40603</v>
      </c>
      <c r="C101" s="53">
        <f t="shared" si="10"/>
        <v>269624.58681578137</v>
      </c>
      <c r="D101" s="53">
        <f t="shared" si="6"/>
        <v>1067.2639894791346</v>
      </c>
      <c r="E101" s="53">
        <f t="shared" si="7"/>
        <v>497.67802003021734</v>
      </c>
      <c r="F101" s="53">
        <f t="shared" si="8"/>
        <v>269126.90879575117</v>
      </c>
      <c r="G101" s="53">
        <f t="shared" si="11"/>
        <v>80237.79147091527</v>
      </c>
    </row>
    <row r="102" spans="1:7" ht="12.75">
      <c r="A102" s="51">
        <f t="shared" si="9"/>
        <v>72</v>
      </c>
      <c r="B102" s="52">
        <f>IF('Tabla de Amortización'!A102&lt;&gt;"",DATE(YEAR([0]!Primer_pago),MONTH([0]!Primer_pago)+('Tabla de Amortización'!A102-1)*12/Pagos_por_año,DAY([0]!Primer_pago)),"")</f>
        <v>40634</v>
      </c>
      <c r="C102" s="53">
        <f t="shared" si="10"/>
        <v>269126.90879575117</v>
      </c>
      <c r="D102" s="53">
        <f t="shared" si="6"/>
        <v>1065.2940139831817</v>
      </c>
      <c r="E102" s="53">
        <f t="shared" si="7"/>
        <v>499.64799552617023</v>
      </c>
      <c r="F102" s="53">
        <f t="shared" si="8"/>
        <v>268627.260800225</v>
      </c>
      <c r="G102" s="53">
        <f t="shared" si="11"/>
        <v>81303.08548489845</v>
      </c>
    </row>
    <row r="103" spans="1:7" ht="12.75">
      <c r="A103" s="51">
        <f t="shared" si="9"/>
        <v>73</v>
      </c>
      <c r="B103" s="52">
        <f>IF('Tabla de Amortización'!A103&lt;&gt;"",DATE(YEAR([0]!Primer_pago),MONTH([0]!Primer_pago)+('Tabla de Amortización'!A103-1)*12/Pagos_por_año,DAY([0]!Primer_pago)),"")</f>
        <v>40664</v>
      </c>
      <c r="C103" s="53">
        <f t="shared" si="10"/>
        <v>268627.260800225</v>
      </c>
      <c r="D103" s="53">
        <f t="shared" si="6"/>
        <v>1063.3162406675574</v>
      </c>
      <c r="E103" s="53">
        <f t="shared" si="7"/>
        <v>501.6257688417945</v>
      </c>
      <c r="F103" s="53">
        <f t="shared" si="8"/>
        <v>268125.63503138325</v>
      </c>
      <c r="G103" s="53">
        <f t="shared" si="11"/>
        <v>82366.401725566</v>
      </c>
    </row>
    <row r="104" spans="1:7" ht="12.75">
      <c r="A104" s="51">
        <f t="shared" si="9"/>
        <v>74</v>
      </c>
      <c r="B104" s="52">
        <f>IF('Tabla de Amortización'!A104&lt;&gt;"",DATE(YEAR([0]!Primer_pago),MONTH([0]!Primer_pago)+('Tabla de Amortización'!A104-1)*12/Pagos_por_año,DAY([0]!Primer_pago)),"")</f>
        <v>40695</v>
      </c>
      <c r="C104" s="53">
        <f t="shared" si="10"/>
        <v>268125.63503138325</v>
      </c>
      <c r="D104" s="53">
        <f t="shared" si="6"/>
        <v>1061.3306386658921</v>
      </c>
      <c r="E104" s="53">
        <f t="shared" si="7"/>
        <v>503.6113708434598</v>
      </c>
      <c r="F104" s="53">
        <f t="shared" si="8"/>
        <v>267622.02366053977</v>
      </c>
      <c r="G104" s="53">
        <f t="shared" si="11"/>
        <v>83427.7323642319</v>
      </c>
    </row>
    <row r="105" spans="1:7" ht="12.75">
      <c r="A105" s="51">
        <f t="shared" si="9"/>
        <v>75</v>
      </c>
      <c r="B105" s="52">
        <f>IF('Tabla de Amortización'!A105&lt;&gt;"",DATE(YEAR([0]!Primer_pago),MONTH([0]!Primer_pago)+('Tabla de Amortización'!A105-1)*12/Pagos_por_año,DAY([0]!Primer_pago)),"")</f>
        <v>40725</v>
      </c>
      <c r="C105" s="53">
        <f t="shared" si="10"/>
        <v>267622.02366053977</v>
      </c>
      <c r="D105" s="53">
        <f t="shared" si="6"/>
        <v>1059.3371769896366</v>
      </c>
      <c r="E105" s="53">
        <f t="shared" si="7"/>
        <v>505.6048325197153</v>
      </c>
      <c r="F105" s="53">
        <f t="shared" si="8"/>
        <v>267116.41882802005</v>
      </c>
      <c r="G105" s="53">
        <f t="shared" si="11"/>
        <v>84487.06954122153</v>
      </c>
    </row>
    <row r="106" spans="1:7" ht="12.75">
      <c r="A106" s="51">
        <f t="shared" si="9"/>
        <v>76</v>
      </c>
      <c r="B106" s="52">
        <f>IF('Tabla de Amortización'!A106&lt;&gt;"",DATE(YEAR([0]!Primer_pago),MONTH([0]!Primer_pago)+('Tabla de Amortización'!A106-1)*12/Pagos_por_año,DAY([0]!Primer_pago)),"")</f>
        <v>40756</v>
      </c>
      <c r="C106" s="53">
        <f t="shared" si="10"/>
        <v>267116.41882802005</v>
      </c>
      <c r="D106" s="53">
        <f t="shared" si="6"/>
        <v>1057.3358245275795</v>
      </c>
      <c r="E106" s="53">
        <f t="shared" si="7"/>
        <v>507.60618498177246</v>
      </c>
      <c r="F106" s="53">
        <f t="shared" si="8"/>
        <v>266608.8126430383</v>
      </c>
      <c r="G106" s="53">
        <f t="shared" si="11"/>
        <v>85544.4053657491</v>
      </c>
    </row>
    <row r="107" spans="1:7" ht="12.75">
      <c r="A107" s="51">
        <f t="shared" si="9"/>
        <v>77</v>
      </c>
      <c r="B107" s="52">
        <f>IF('Tabla de Amortización'!A107&lt;&gt;"",DATE(YEAR([0]!Primer_pago),MONTH([0]!Primer_pago)+('Tabla de Amortización'!A107-1)*12/Pagos_por_año,DAY([0]!Primer_pago)),"")</f>
        <v>40787</v>
      </c>
      <c r="C107" s="53">
        <f t="shared" si="10"/>
        <v>266608.8126430383</v>
      </c>
      <c r="D107" s="53">
        <f t="shared" si="6"/>
        <v>1055.32655004536</v>
      </c>
      <c r="E107" s="53">
        <f t="shared" si="7"/>
        <v>509.615459463992</v>
      </c>
      <c r="F107" s="53">
        <f t="shared" si="8"/>
        <v>266099.1971835743</v>
      </c>
      <c r="G107" s="53">
        <f t="shared" si="11"/>
        <v>86599.73191579446</v>
      </c>
    </row>
    <row r="108" spans="1:7" ht="12.75">
      <c r="A108" s="51">
        <f t="shared" si="9"/>
        <v>78</v>
      </c>
      <c r="B108" s="52">
        <f>IF('Tabla de Amortización'!A108&lt;&gt;"",DATE(YEAR([0]!Primer_pago),MONTH([0]!Primer_pago)+('Tabla de Amortización'!A108-1)*12/Pagos_por_año,DAY([0]!Primer_pago)),"")</f>
        <v>40817</v>
      </c>
      <c r="C108" s="53">
        <f t="shared" si="10"/>
        <v>266099.1971835743</v>
      </c>
      <c r="D108" s="53">
        <f t="shared" si="6"/>
        <v>1053.3093221849817</v>
      </c>
      <c r="E108" s="53">
        <f t="shared" si="7"/>
        <v>511.6326873243702</v>
      </c>
      <c r="F108" s="53">
        <f t="shared" si="8"/>
        <v>265587.56449624995</v>
      </c>
      <c r="G108" s="53">
        <f t="shared" si="11"/>
        <v>87653.04123797944</v>
      </c>
    </row>
    <row r="109" spans="1:7" ht="12.75">
      <c r="A109" s="51">
        <f t="shared" si="9"/>
        <v>79</v>
      </c>
      <c r="B109" s="52">
        <f>IF('Tabla de Amortización'!A109&lt;&gt;"",DATE(YEAR([0]!Primer_pago),MONTH([0]!Primer_pago)+('Tabla de Amortización'!A109-1)*12/Pagos_por_año,DAY([0]!Primer_pago)),"")</f>
        <v>40848</v>
      </c>
      <c r="C109" s="53">
        <f t="shared" si="10"/>
        <v>265587.56449624995</v>
      </c>
      <c r="D109" s="53">
        <f t="shared" si="6"/>
        <v>1051.284109464323</v>
      </c>
      <c r="E109" s="53">
        <f t="shared" si="7"/>
        <v>513.657900045029</v>
      </c>
      <c r="F109" s="53">
        <f t="shared" si="8"/>
        <v>265073.9065962049</v>
      </c>
      <c r="G109" s="53">
        <f t="shared" si="11"/>
        <v>88704.32534744377</v>
      </c>
    </row>
    <row r="110" spans="1:7" ht="12.75">
      <c r="A110" s="51">
        <f t="shared" si="9"/>
        <v>80</v>
      </c>
      <c r="B110" s="52">
        <f>IF('Tabla de Amortización'!A110&lt;&gt;"",DATE(YEAR([0]!Primer_pago),MONTH([0]!Primer_pago)+('Tabla de Amortización'!A110-1)*12/Pagos_por_año,DAY([0]!Primer_pago)),"")</f>
        <v>40878</v>
      </c>
      <c r="C110" s="53">
        <f t="shared" si="10"/>
        <v>265073.9065962049</v>
      </c>
      <c r="D110" s="53">
        <f t="shared" si="6"/>
        <v>1049.2508802766445</v>
      </c>
      <c r="E110" s="53">
        <f t="shared" si="7"/>
        <v>515.6911292327075</v>
      </c>
      <c r="F110" s="53">
        <f t="shared" si="8"/>
        <v>264558.2154669722</v>
      </c>
      <c r="G110" s="53">
        <f t="shared" si="11"/>
        <v>89753.5762277204</v>
      </c>
    </row>
    <row r="111" spans="1:7" ht="12.75">
      <c r="A111" s="51">
        <f t="shared" si="9"/>
        <v>81</v>
      </c>
      <c r="B111" s="52">
        <f>IF('Tabla de Amortización'!A111&lt;&gt;"",DATE(YEAR([0]!Primer_pago),MONTH([0]!Primer_pago)+('Tabla de Amortización'!A111-1)*12/Pagos_por_año,DAY([0]!Primer_pago)),"")</f>
        <v>40909</v>
      </c>
      <c r="C111" s="53">
        <f t="shared" si="10"/>
        <v>264558.2154669722</v>
      </c>
      <c r="D111" s="53">
        <f t="shared" si="6"/>
        <v>1047.2096028900985</v>
      </c>
      <c r="E111" s="53">
        <f t="shared" si="7"/>
        <v>517.7324066192534</v>
      </c>
      <c r="F111" s="53">
        <f t="shared" si="8"/>
        <v>264040.48306035297</v>
      </c>
      <c r="G111" s="53">
        <f t="shared" si="11"/>
        <v>90800.7858306105</v>
      </c>
    </row>
    <row r="112" spans="1:7" ht="12.75">
      <c r="A112" s="51">
        <f t="shared" si="9"/>
        <v>82</v>
      </c>
      <c r="B112" s="52">
        <f>IF('Tabla de Amortización'!A112&lt;&gt;"",DATE(YEAR([0]!Primer_pago),MONTH([0]!Primer_pago)+('Tabla de Amortización'!A112-1)*12/Pagos_por_año,DAY([0]!Primer_pago)),"")</f>
        <v>40940</v>
      </c>
      <c r="C112" s="53">
        <f t="shared" si="10"/>
        <v>264040.48306035297</v>
      </c>
      <c r="D112" s="53">
        <f t="shared" si="6"/>
        <v>1045.1602454472306</v>
      </c>
      <c r="E112" s="53">
        <f t="shared" si="7"/>
        <v>519.7817640621213</v>
      </c>
      <c r="F112" s="53">
        <f t="shared" si="8"/>
        <v>263520.70129629085</v>
      </c>
      <c r="G112" s="53">
        <f t="shared" si="11"/>
        <v>91845.94607605773</v>
      </c>
    </row>
    <row r="113" spans="1:7" ht="12.75">
      <c r="A113" s="51">
        <f t="shared" si="9"/>
        <v>83</v>
      </c>
      <c r="B113" s="52">
        <f>IF('Tabla de Amortización'!A113&lt;&gt;"",DATE(YEAR([0]!Primer_pago),MONTH([0]!Primer_pago)+('Tabla de Amortización'!A113-1)*12/Pagos_por_año,DAY([0]!Primer_pago)),"")</f>
        <v>40969</v>
      </c>
      <c r="C113" s="53">
        <f t="shared" si="10"/>
        <v>263520.70129629085</v>
      </c>
      <c r="D113" s="53">
        <f t="shared" si="6"/>
        <v>1043.1027759644846</v>
      </c>
      <c r="E113" s="53">
        <f t="shared" si="7"/>
        <v>521.8392335448673</v>
      </c>
      <c r="F113" s="53">
        <f t="shared" si="8"/>
        <v>262998.86206274596</v>
      </c>
      <c r="G113" s="53">
        <f t="shared" si="11"/>
        <v>92889.04885202221</v>
      </c>
    </row>
    <row r="114" spans="1:7" ht="12.75">
      <c r="A114" s="51">
        <f t="shared" si="9"/>
        <v>84</v>
      </c>
      <c r="B114" s="52">
        <f>IF('Tabla de Amortización'!A114&lt;&gt;"",DATE(YEAR([0]!Primer_pago),MONTH([0]!Primer_pago)+('Tabla de Amortización'!A114-1)*12/Pagos_por_año,DAY([0]!Primer_pago)),"")</f>
        <v>41000</v>
      </c>
      <c r="C114" s="53">
        <f t="shared" si="10"/>
        <v>262998.86206274596</v>
      </c>
      <c r="D114" s="53">
        <f t="shared" si="6"/>
        <v>1041.0371623317028</v>
      </c>
      <c r="E114" s="53">
        <f t="shared" si="7"/>
        <v>523.9048471776491</v>
      </c>
      <c r="F114" s="53">
        <f t="shared" si="8"/>
        <v>262474.9572155683</v>
      </c>
      <c r="G114" s="53">
        <f t="shared" si="11"/>
        <v>93930.08601435392</v>
      </c>
    </row>
    <row r="115" spans="1:7" ht="12.75">
      <c r="A115" s="51">
        <f t="shared" si="9"/>
        <v>85</v>
      </c>
      <c r="B115" s="52">
        <f>IF('Tabla de Amortización'!A115&lt;&gt;"",DATE(YEAR([0]!Primer_pago),MONTH([0]!Primer_pago)+('Tabla de Amortización'!A115-1)*12/Pagos_por_año,DAY([0]!Primer_pago)),"")</f>
        <v>41030</v>
      </c>
      <c r="C115" s="53">
        <f t="shared" si="10"/>
        <v>262474.9572155683</v>
      </c>
      <c r="D115" s="53">
        <f t="shared" si="6"/>
        <v>1038.9633723116247</v>
      </c>
      <c r="E115" s="53">
        <f t="shared" si="7"/>
        <v>525.9786371977273</v>
      </c>
      <c r="F115" s="53">
        <f t="shared" si="8"/>
        <v>261948.97857837056</v>
      </c>
      <c r="G115" s="53">
        <f t="shared" si="11"/>
        <v>94969.04938666555</v>
      </c>
    </row>
    <row r="116" spans="1:7" ht="12.75">
      <c r="A116" s="51">
        <f t="shared" si="9"/>
        <v>86</v>
      </c>
      <c r="B116" s="52">
        <f>IF('Tabla de Amortización'!A116&lt;&gt;"",DATE(YEAR([0]!Primer_pago),MONTH([0]!Primer_pago)+('Tabla de Amortización'!A116-1)*12/Pagos_por_año,DAY([0]!Primer_pago)),"")</f>
        <v>41061</v>
      </c>
      <c r="C116" s="53">
        <f t="shared" si="10"/>
        <v>261948.97857837056</v>
      </c>
      <c r="D116" s="53">
        <f t="shared" si="6"/>
        <v>1036.8813735393835</v>
      </c>
      <c r="E116" s="53">
        <f t="shared" si="7"/>
        <v>528.0606359699684</v>
      </c>
      <c r="F116" s="53">
        <f t="shared" si="8"/>
        <v>261420.91794240059</v>
      </c>
      <c r="G116" s="53">
        <f t="shared" si="11"/>
        <v>96005.93076020492</v>
      </c>
    </row>
    <row r="117" spans="1:7" ht="12.75">
      <c r="A117" s="51">
        <f t="shared" si="9"/>
        <v>87</v>
      </c>
      <c r="B117" s="52">
        <f>IF('Tabla de Amortización'!A117&lt;&gt;"",DATE(YEAR([0]!Primer_pago),MONTH([0]!Primer_pago)+('Tabla de Amortización'!A117-1)*12/Pagos_por_año,DAY([0]!Primer_pago)),"")</f>
        <v>41091</v>
      </c>
      <c r="C117" s="53">
        <f t="shared" si="10"/>
        <v>261420.91794240059</v>
      </c>
      <c r="D117" s="53">
        <f t="shared" si="6"/>
        <v>1034.7911335220024</v>
      </c>
      <c r="E117" s="53">
        <f t="shared" si="7"/>
        <v>530.1508759873495</v>
      </c>
      <c r="F117" s="53">
        <f t="shared" si="8"/>
        <v>260890.76706641325</v>
      </c>
      <c r="G117" s="53">
        <f t="shared" si="11"/>
        <v>97040.72189372692</v>
      </c>
    </row>
    <row r="118" spans="1:7" ht="12.75">
      <c r="A118" s="51">
        <f t="shared" si="9"/>
        <v>88</v>
      </c>
      <c r="B118" s="52">
        <f>IF('Tabla de Amortización'!A118&lt;&gt;"",DATE(YEAR([0]!Primer_pago),MONTH([0]!Primer_pago)+('Tabla de Amortización'!A118-1)*12/Pagos_por_año,DAY([0]!Primer_pago)),"")</f>
        <v>41122</v>
      </c>
      <c r="C118" s="53">
        <f t="shared" si="10"/>
        <v>260890.76706641325</v>
      </c>
      <c r="D118" s="53">
        <f t="shared" si="6"/>
        <v>1032.6926196378859</v>
      </c>
      <c r="E118" s="53">
        <f t="shared" si="7"/>
        <v>532.2493898714661</v>
      </c>
      <c r="F118" s="53">
        <f t="shared" si="8"/>
        <v>260358.5176765418</v>
      </c>
      <c r="G118" s="53">
        <f t="shared" si="11"/>
        <v>98073.41451336481</v>
      </c>
    </row>
    <row r="119" spans="1:7" ht="12.75">
      <c r="A119" s="51">
        <f t="shared" si="9"/>
        <v>89</v>
      </c>
      <c r="B119" s="52">
        <f>IF('Tabla de Amortización'!A119&lt;&gt;"",DATE(YEAR([0]!Primer_pago),MONTH([0]!Primer_pago)+('Tabla de Amortización'!A119-1)*12/Pagos_por_año,DAY([0]!Primer_pago)),"")</f>
        <v>41153</v>
      </c>
      <c r="C119" s="53">
        <f t="shared" si="10"/>
        <v>260358.5176765418</v>
      </c>
      <c r="D119" s="53">
        <f t="shared" si="6"/>
        <v>1030.5857991363114</v>
      </c>
      <c r="E119" s="53">
        <f t="shared" si="7"/>
        <v>534.3562103730405</v>
      </c>
      <c r="F119" s="53">
        <f t="shared" si="8"/>
        <v>259824.16146616873</v>
      </c>
      <c r="G119" s="53">
        <f t="shared" si="11"/>
        <v>99104.00031250113</v>
      </c>
    </row>
    <row r="120" spans="1:7" ht="12.75">
      <c r="A120" s="51">
        <f t="shared" si="9"/>
        <v>90</v>
      </c>
      <c r="B120" s="52">
        <f>IF('Tabla de Amortización'!A120&lt;&gt;"",DATE(YEAR([0]!Primer_pago),MONTH([0]!Primer_pago)+('Tabla de Amortización'!A120-1)*12/Pagos_por_año,DAY([0]!Primer_pago)),"")</f>
        <v>41183</v>
      </c>
      <c r="C120" s="53">
        <f t="shared" si="10"/>
        <v>259824.16146616873</v>
      </c>
      <c r="D120" s="53">
        <f t="shared" si="6"/>
        <v>1028.470639136918</v>
      </c>
      <c r="E120" s="53">
        <f t="shared" si="7"/>
        <v>536.471370372434</v>
      </c>
      <c r="F120" s="53">
        <f t="shared" si="8"/>
        <v>259287.6900957963</v>
      </c>
      <c r="G120" s="53">
        <f t="shared" si="11"/>
        <v>100132.47095163804</v>
      </c>
    </row>
    <row r="121" spans="1:7" ht="12.75">
      <c r="A121" s="51">
        <f t="shared" si="9"/>
        <v>91</v>
      </c>
      <c r="B121" s="52">
        <f>IF('Tabla de Amortización'!A121&lt;&gt;"",DATE(YEAR([0]!Primer_pago),MONTH([0]!Primer_pago)+('Tabla de Amortización'!A121-1)*12/Pagos_por_año,DAY([0]!Primer_pago)),"")</f>
        <v>41214</v>
      </c>
      <c r="C121" s="53">
        <f t="shared" si="10"/>
        <v>259287.6900957963</v>
      </c>
      <c r="D121" s="53">
        <f t="shared" si="6"/>
        <v>1026.3471066291938</v>
      </c>
      <c r="E121" s="53">
        <f t="shared" si="7"/>
        <v>538.5949028801581</v>
      </c>
      <c r="F121" s="53">
        <f t="shared" si="8"/>
        <v>258749.09519291614</v>
      </c>
      <c r="G121" s="53">
        <f t="shared" si="11"/>
        <v>101158.81805826724</v>
      </c>
    </row>
    <row r="122" spans="1:7" ht="12.75">
      <c r="A122" s="51">
        <f t="shared" si="9"/>
        <v>92</v>
      </c>
      <c r="B122" s="52">
        <f>IF('Tabla de Amortización'!A122&lt;&gt;"",DATE(YEAR([0]!Primer_pago),MONTH([0]!Primer_pago)+('Tabla de Amortización'!A122-1)*12/Pagos_por_año,DAY([0]!Primer_pago)),"")</f>
        <v>41244</v>
      </c>
      <c r="C122" s="53">
        <f t="shared" si="10"/>
        <v>258749.09519291614</v>
      </c>
      <c r="D122" s="53">
        <f t="shared" si="6"/>
        <v>1024.2151684719597</v>
      </c>
      <c r="E122" s="53">
        <f t="shared" si="7"/>
        <v>540.7268410373922</v>
      </c>
      <c r="F122" s="53">
        <f t="shared" si="8"/>
        <v>258208.36835187874</v>
      </c>
      <c r="G122" s="53">
        <f t="shared" si="11"/>
        <v>102183.0332267392</v>
      </c>
    </row>
    <row r="123" spans="1:7" ht="12.75">
      <c r="A123" s="51">
        <f t="shared" si="9"/>
        <v>93</v>
      </c>
      <c r="B123" s="52">
        <f>IF('Tabla de Amortización'!A123&lt;&gt;"",DATE(YEAR([0]!Primer_pago),MONTH([0]!Primer_pago)+('Tabla de Amortización'!A123-1)*12/Pagos_por_año,DAY([0]!Primer_pago)),"")</f>
        <v>41275</v>
      </c>
      <c r="C123" s="53">
        <f t="shared" si="10"/>
        <v>258208.36835187874</v>
      </c>
      <c r="D123" s="53">
        <f t="shared" si="6"/>
        <v>1022.0747913928534</v>
      </c>
      <c r="E123" s="53">
        <f t="shared" si="7"/>
        <v>542.8672181164985</v>
      </c>
      <c r="F123" s="53">
        <f t="shared" si="8"/>
        <v>257665.50113376224</v>
      </c>
      <c r="G123" s="53">
        <f t="shared" si="11"/>
        <v>103205.10801813204</v>
      </c>
    </row>
    <row r="124" spans="1:7" ht="12.75">
      <c r="A124" s="51">
        <f t="shared" si="9"/>
        <v>94</v>
      </c>
      <c r="B124" s="52">
        <f>IF('Tabla de Amortización'!A124&lt;&gt;"",DATE(YEAR([0]!Primer_pago),MONTH([0]!Primer_pago)+('Tabla de Amortización'!A124-1)*12/Pagos_por_año,DAY([0]!Primer_pago)),"")</f>
        <v>41306</v>
      </c>
      <c r="C124" s="53">
        <f t="shared" si="10"/>
        <v>257665.50113376224</v>
      </c>
      <c r="D124" s="53">
        <f t="shared" si="6"/>
        <v>1019.925941987809</v>
      </c>
      <c r="E124" s="53">
        <f t="shared" si="7"/>
        <v>545.0160675215429</v>
      </c>
      <c r="F124" s="53">
        <f t="shared" si="8"/>
        <v>257120.4850662407</v>
      </c>
      <c r="G124" s="53">
        <f t="shared" si="11"/>
        <v>104225.03396011985</v>
      </c>
    </row>
    <row r="125" spans="1:7" ht="12.75">
      <c r="A125" s="51">
        <f t="shared" si="9"/>
        <v>95</v>
      </c>
      <c r="B125" s="52">
        <f>IF('Tabla de Amortización'!A125&lt;&gt;"",DATE(YEAR([0]!Primer_pago),MONTH([0]!Primer_pago)+('Tabla de Amortización'!A125-1)*12/Pagos_por_año,DAY([0]!Primer_pago)),"")</f>
        <v>41334</v>
      </c>
      <c r="C125" s="53">
        <f t="shared" si="10"/>
        <v>257120.4850662407</v>
      </c>
      <c r="D125" s="53">
        <f t="shared" si="6"/>
        <v>1017.7685867205363</v>
      </c>
      <c r="E125" s="53">
        <f t="shared" si="7"/>
        <v>547.1734227888156</v>
      </c>
      <c r="F125" s="53">
        <f t="shared" si="8"/>
        <v>256573.3116434519</v>
      </c>
      <c r="G125" s="53">
        <f t="shared" si="11"/>
        <v>105242.80254684038</v>
      </c>
    </row>
    <row r="126" spans="1:7" ht="12.75">
      <c r="A126" s="51">
        <f t="shared" si="9"/>
        <v>96</v>
      </c>
      <c r="B126" s="52">
        <f>IF('Tabla de Amortización'!A126&lt;&gt;"",DATE(YEAR([0]!Primer_pago),MONTH([0]!Primer_pago)+('Tabla de Amortización'!A126-1)*12/Pagos_por_año,DAY([0]!Primer_pago)),"")</f>
        <v>41365</v>
      </c>
      <c r="C126" s="53">
        <f t="shared" si="10"/>
        <v>256573.3116434519</v>
      </c>
      <c r="D126" s="53">
        <f t="shared" si="6"/>
        <v>1015.6026919219971</v>
      </c>
      <c r="E126" s="53">
        <f t="shared" si="7"/>
        <v>549.3393175873548</v>
      </c>
      <c r="F126" s="53">
        <f t="shared" si="8"/>
        <v>256023.97232586454</v>
      </c>
      <c r="G126" s="53">
        <f t="shared" si="11"/>
        <v>106258.40523876238</v>
      </c>
    </row>
    <row r="127" spans="1:7" ht="12.75">
      <c r="A127" s="51">
        <f t="shared" si="9"/>
        <v>97</v>
      </c>
      <c r="B127" s="52">
        <f>IF('Tabla de Amortización'!A127&lt;&gt;"",DATE(YEAR([0]!Primer_pago),MONTH([0]!Primer_pago)+('Tabla de Amortización'!A127-1)*12/Pagos_por_año,DAY([0]!Primer_pago)),"")</f>
        <v>41395</v>
      </c>
      <c r="C127" s="53">
        <f t="shared" si="10"/>
        <v>256023.97232586454</v>
      </c>
      <c r="D127" s="53">
        <f t="shared" si="6"/>
        <v>1013.4282237898806</v>
      </c>
      <c r="E127" s="53">
        <f t="shared" si="7"/>
        <v>551.5137857194713</v>
      </c>
      <c r="F127" s="53">
        <f t="shared" si="8"/>
        <v>255472.45854014507</v>
      </c>
      <c r="G127" s="53">
        <f t="shared" si="11"/>
        <v>107271.83346255225</v>
      </c>
    </row>
    <row r="128" spans="1:7" ht="12.75">
      <c r="A128" s="51">
        <f t="shared" si="9"/>
        <v>98</v>
      </c>
      <c r="B128" s="52">
        <f>IF('Tabla de Amortización'!A128&lt;&gt;"",DATE(YEAR([0]!Primer_pago),MONTH([0]!Primer_pago)+('Tabla de Amortización'!A128-1)*12/Pagos_por_año,DAY([0]!Primer_pago)),"")</f>
        <v>41426</v>
      </c>
      <c r="C128" s="53">
        <f t="shared" si="10"/>
        <v>255472.45854014507</v>
      </c>
      <c r="D128" s="53">
        <f t="shared" si="6"/>
        <v>1011.2451483880743</v>
      </c>
      <c r="E128" s="53">
        <f t="shared" si="7"/>
        <v>553.6968611212776</v>
      </c>
      <c r="F128" s="53">
        <f t="shared" si="8"/>
        <v>254918.7616790238</v>
      </c>
      <c r="G128" s="53">
        <f t="shared" si="11"/>
        <v>108283.07861094033</v>
      </c>
    </row>
    <row r="129" spans="1:7" ht="12.75">
      <c r="A129" s="51">
        <f t="shared" si="9"/>
        <v>99</v>
      </c>
      <c r="B129" s="52">
        <f>IF('Tabla de Amortización'!A129&lt;&gt;"",DATE(YEAR([0]!Primer_pago),MONTH([0]!Primer_pago)+('Tabla de Amortización'!A129-1)*12/Pagos_por_año,DAY([0]!Primer_pago)),"")</f>
        <v>41456</v>
      </c>
      <c r="C129" s="53">
        <f t="shared" si="10"/>
        <v>254918.7616790238</v>
      </c>
      <c r="D129" s="53">
        <f t="shared" si="6"/>
        <v>1009.0534316461359</v>
      </c>
      <c r="E129" s="53">
        <f t="shared" si="7"/>
        <v>555.888577863216</v>
      </c>
      <c r="F129" s="53">
        <f t="shared" si="8"/>
        <v>254362.87310116057</v>
      </c>
      <c r="G129" s="53">
        <f t="shared" si="11"/>
        <v>109292.13204258647</v>
      </c>
    </row>
    <row r="130" spans="1:7" ht="12.75">
      <c r="A130" s="51">
        <f t="shared" si="9"/>
        <v>100</v>
      </c>
      <c r="B130" s="52">
        <f>IF('Tabla de Amortización'!A130&lt;&gt;"",DATE(YEAR([0]!Primer_pago),MONTH([0]!Primer_pago)+('Tabla de Amortización'!A130-1)*12/Pagos_por_año,DAY([0]!Primer_pago)),"")</f>
        <v>41487</v>
      </c>
      <c r="C130" s="53">
        <f t="shared" si="10"/>
        <v>254362.87310116057</v>
      </c>
      <c r="D130" s="53">
        <f t="shared" si="6"/>
        <v>1006.8530393587607</v>
      </c>
      <c r="E130" s="53">
        <f t="shared" si="7"/>
        <v>558.0889701505912</v>
      </c>
      <c r="F130" s="53">
        <f t="shared" si="8"/>
        <v>253804.78413100998</v>
      </c>
      <c r="G130" s="53">
        <f t="shared" si="11"/>
        <v>110298.98508194523</v>
      </c>
    </row>
    <row r="131" spans="1:7" ht="12.75">
      <c r="A131" s="51">
        <f t="shared" si="9"/>
        <v>101</v>
      </c>
      <c r="B131" s="52">
        <f>IF('Tabla de Amortización'!A131&lt;&gt;"",DATE(YEAR([0]!Primer_pago),MONTH([0]!Primer_pago)+('Tabla de Amortización'!A131-1)*12/Pagos_por_año,DAY([0]!Primer_pago)),"")</f>
        <v>41518</v>
      </c>
      <c r="C131" s="53">
        <f t="shared" si="10"/>
        <v>253804.78413100998</v>
      </c>
      <c r="D131" s="53">
        <f t="shared" si="6"/>
        <v>1004.6439371852479</v>
      </c>
      <c r="E131" s="53">
        <f t="shared" si="7"/>
        <v>560.298072324104</v>
      </c>
      <c r="F131" s="53">
        <f t="shared" si="8"/>
        <v>253244.48605868587</v>
      </c>
      <c r="G131" s="53">
        <f t="shared" si="11"/>
        <v>111303.62901913047</v>
      </c>
    </row>
    <row r="132" spans="1:7" ht="12.75">
      <c r="A132" s="51">
        <f t="shared" si="9"/>
        <v>102</v>
      </c>
      <c r="B132" s="52">
        <f>IF('Tabla de Amortización'!A132&lt;&gt;"",DATE(YEAR([0]!Primer_pago),MONTH([0]!Primer_pago)+('Tabla de Amortización'!A132-1)*12/Pagos_por_año,DAY([0]!Primer_pago)),"")</f>
        <v>41548</v>
      </c>
      <c r="C132" s="53">
        <f t="shared" si="10"/>
        <v>253244.48605868587</v>
      </c>
      <c r="D132" s="53">
        <f t="shared" si="6"/>
        <v>1002.426090648965</v>
      </c>
      <c r="E132" s="53">
        <f t="shared" si="7"/>
        <v>562.5159188603869</v>
      </c>
      <c r="F132" s="53">
        <f t="shared" si="8"/>
        <v>252681.97013982548</v>
      </c>
      <c r="G132" s="53">
        <f t="shared" si="11"/>
        <v>112306.05510977944</v>
      </c>
    </row>
    <row r="133" spans="1:7" ht="12.75">
      <c r="A133" s="51">
        <f t="shared" si="9"/>
        <v>103</v>
      </c>
      <c r="B133" s="52">
        <f>IF('Tabla de Amortización'!A133&lt;&gt;"",DATE(YEAR([0]!Primer_pago),MONTH([0]!Primer_pago)+('Tabla de Amortización'!A133-1)*12/Pagos_por_año,DAY([0]!Primer_pago)),"")</f>
        <v>41579</v>
      </c>
      <c r="C133" s="53">
        <f t="shared" si="10"/>
        <v>252681.97013982548</v>
      </c>
      <c r="D133" s="53">
        <f t="shared" si="6"/>
        <v>1000.1994651368093</v>
      </c>
      <c r="E133" s="53">
        <f t="shared" si="7"/>
        <v>564.7425443725426</v>
      </c>
      <c r="F133" s="53">
        <f t="shared" si="8"/>
        <v>252117.22759545295</v>
      </c>
      <c r="G133" s="53">
        <f t="shared" si="11"/>
        <v>113306.25457491625</v>
      </c>
    </row>
    <row r="134" spans="1:7" ht="12.75">
      <c r="A134" s="51">
        <f t="shared" si="9"/>
        <v>104</v>
      </c>
      <c r="B134" s="52">
        <f>IF('Tabla de Amortización'!A134&lt;&gt;"",DATE(YEAR([0]!Primer_pago),MONTH([0]!Primer_pago)+('Tabla de Amortización'!A134-1)*12/Pagos_por_año,DAY([0]!Primer_pago)),"")</f>
        <v>41609</v>
      </c>
      <c r="C134" s="53">
        <f t="shared" si="10"/>
        <v>252117.22759545295</v>
      </c>
      <c r="D134" s="53">
        <f t="shared" si="6"/>
        <v>997.964025898668</v>
      </c>
      <c r="E134" s="53">
        <f t="shared" si="7"/>
        <v>566.977983610684</v>
      </c>
      <c r="F134" s="53">
        <f t="shared" si="8"/>
        <v>251550.24961184227</v>
      </c>
      <c r="G134" s="53">
        <f t="shared" si="11"/>
        <v>114304.21860081491</v>
      </c>
    </row>
    <row r="135" spans="1:7" ht="12.75">
      <c r="A135" s="51">
        <f t="shared" si="9"/>
        <v>105</v>
      </c>
      <c r="B135" s="52">
        <f>IF('Tabla de Amortización'!A135&lt;&gt;"",DATE(YEAR([0]!Primer_pago),MONTH([0]!Primer_pago)+('Tabla de Amortización'!A135-1)*12/Pagos_por_año,DAY([0]!Primer_pago)),"")</f>
        <v>41640</v>
      </c>
      <c r="C135" s="53">
        <f t="shared" si="10"/>
        <v>251550.24961184227</v>
      </c>
      <c r="D135" s="53">
        <f t="shared" si="6"/>
        <v>995.7197380468757</v>
      </c>
      <c r="E135" s="53">
        <f t="shared" si="7"/>
        <v>569.2222714624762</v>
      </c>
      <c r="F135" s="53">
        <f t="shared" si="8"/>
        <v>250981.0273403798</v>
      </c>
      <c r="G135" s="53">
        <f t="shared" si="11"/>
        <v>115299.93833886179</v>
      </c>
    </row>
    <row r="136" spans="1:7" ht="12.75">
      <c r="A136" s="51">
        <f t="shared" si="9"/>
        <v>106</v>
      </c>
      <c r="B136" s="52">
        <f>IF('Tabla de Amortización'!A136&lt;&gt;"",DATE(YEAR([0]!Primer_pago),MONTH([0]!Primer_pago)+('Tabla de Amortización'!A136-1)*12/Pagos_por_año,DAY([0]!Primer_pago)),"")</f>
        <v>41671</v>
      </c>
      <c r="C136" s="53">
        <f t="shared" si="10"/>
        <v>250981.0273403798</v>
      </c>
      <c r="D136" s="53">
        <f t="shared" si="6"/>
        <v>993.4665665556702</v>
      </c>
      <c r="E136" s="53">
        <f t="shared" si="7"/>
        <v>571.4754429536817</v>
      </c>
      <c r="F136" s="53">
        <f t="shared" si="8"/>
        <v>250409.55189742614</v>
      </c>
      <c r="G136" s="53">
        <f t="shared" si="11"/>
        <v>116293.40490541745</v>
      </c>
    </row>
    <row r="137" spans="1:7" ht="12.75">
      <c r="A137" s="51">
        <f t="shared" si="9"/>
        <v>107</v>
      </c>
      <c r="B137" s="52">
        <f>IF('Tabla de Amortización'!A137&lt;&gt;"",DATE(YEAR([0]!Primer_pago),MONTH([0]!Primer_pago)+('Tabla de Amortización'!A137-1)*12/Pagos_por_año,DAY([0]!Primer_pago)),"")</f>
        <v>41699</v>
      </c>
      <c r="C137" s="53">
        <f t="shared" si="10"/>
        <v>250409.55189742614</v>
      </c>
      <c r="D137" s="53">
        <f t="shared" si="6"/>
        <v>991.2044762606452</v>
      </c>
      <c r="E137" s="53">
        <f t="shared" si="7"/>
        <v>573.7375332487068</v>
      </c>
      <c r="F137" s="53">
        <f t="shared" si="8"/>
        <v>249835.81436417744</v>
      </c>
      <c r="G137" s="53">
        <f t="shared" si="11"/>
        <v>117284.60938167809</v>
      </c>
    </row>
    <row r="138" spans="1:7" ht="12.75">
      <c r="A138" s="51">
        <f t="shared" si="9"/>
        <v>108</v>
      </c>
      <c r="B138" s="52">
        <f>IF('Tabla de Amortización'!A138&lt;&gt;"",DATE(YEAR([0]!Primer_pago),MONTH([0]!Primer_pago)+('Tabla de Amortización'!A138-1)*12/Pagos_por_año,DAY([0]!Primer_pago)),"")</f>
        <v>41730</v>
      </c>
      <c r="C138" s="53">
        <f t="shared" si="10"/>
        <v>249835.81436417744</v>
      </c>
      <c r="D138" s="53">
        <f t="shared" si="6"/>
        <v>988.9334318582024</v>
      </c>
      <c r="E138" s="53">
        <f t="shared" si="7"/>
        <v>576.0085776511495</v>
      </c>
      <c r="F138" s="53">
        <f t="shared" si="8"/>
        <v>249259.8057865263</v>
      </c>
      <c r="G138" s="53">
        <f t="shared" si="11"/>
        <v>118273.54281353629</v>
      </c>
    </row>
    <row r="139" spans="1:7" ht="12.75">
      <c r="A139" s="51">
        <f t="shared" si="9"/>
        <v>109</v>
      </c>
      <c r="B139" s="52">
        <f>IF('Tabla de Amortización'!A139&lt;&gt;"",DATE(YEAR([0]!Primer_pago),MONTH([0]!Primer_pago)+('Tabla de Amortización'!A139-1)*12/Pagos_por_año,DAY([0]!Primer_pago)),"")</f>
        <v>41760</v>
      </c>
      <c r="C139" s="53">
        <f t="shared" si="10"/>
        <v>249259.8057865263</v>
      </c>
      <c r="D139" s="53">
        <f t="shared" si="6"/>
        <v>986.653397905</v>
      </c>
      <c r="E139" s="53">
        <f t="shared" si="7"/>
        <v>578.2886116043519</v>
      </c>
      <c r="F139" s="53">
        <f t="shared" si="8"/>
        <v>248681.51717492193</v>
      </c>
      <c r="G139" s="53">
        <f t="shared" si="11"/>
        <v>119260.19621144129</v>
      </c>
    </row>
    <row r="140" spans="1:7" ht="12.75">
      <c r="A140" s="51">
        <f t="shared" si="9"/>
        <v>110</v>
      </c>
      <c r="B140" s="52">
        <f>IF('Tabla de Amortización'!A140&lt;&gt;"",DATE(YEAR([0]!Primer_pago),MONTH([0]!Primer_pago)+('Tabla de Amortización'!A140-1)*12/Pagos_por_año,DAY([0]!Primer_pago)),"")</f>
        <v>41791</v>
      </c>
      <c r="C140" s="53">
        <f t="shared" si="10"/>
        <v>248681.51717492193</v>
      </c>
      <c r="D140" s="53">
        <f t="shared" si="6"/>
        <v>984.3643388173994</v>
      </c>
      <c r="E140" s="53">
        <f t="shared" si="7"/>
        <v>580.5776706919526</v>
      </c>
      <c r="F140" s="53">
        <f t="shared" si="8"/>
        <v>248100.93950423</v>
      </c>
      <c r="G140" s="53">
        <f t="shared" si="11"/>
        <v>120244.56055025868</v>
      </c>
    </row>
    <row r="141" spans="1:7" ht="12.75">
      <c r="A141" s="51">
        <f t="shared" si="9"/>
        <v>111</v>
      </c>
      <c r="B141" s="52">
        <f>IF('Tabla de Amortización'!A141&lt;&gt;"",DATE(YEAR([0]!Primer_pago),MONTH([0]!Primer_pago)+('Tabla de Amortización'!A141-1)*12/Pagos_por_año,DAY([0]!Primer_pago)),"")</f>
        <v>41821</v>
      </c>
      <c r="C141" s="53">
        <f t="shared" si="10"/>
        <v>248100.93950423</v>
      </c>
      <c r="D141" s="53">
        <f t="shared" si="6"/>
        <v>982.0662188709105</v>
      </c>
      <c r="E141" s="53">
        <f t="shared" si="7"/>
        <v>582.8757906384415</v>
      </c>
      <c r="F141" s="53">
        <f t="shared" si="8"/>
        <v>247518.06371359155</v>
      </c>
      <c r="G141" s="53">
        <f t="shared" si="11"/>
        <v>121226.6267691296</v>
      </c>
    </row>
    <row r="142" spans="1:7" ht="12.75">
      <c r="A142" s="51">
        <f t="shared" si="9"/>
        <v>112</v>
      </c>
      <c r="B142" s="52">
        <f>IF('Tabla de Amortización'!A142&lt;&gt;"",DATE(YEAR([0]!Primer_pago),MONTH([0]!Primer_pago)+('Tabla de Amortización'!A142-1)*12/Pagos_por_año,DAY([0]!Primer_pago)),"")</f>
        <v>41852</v>
      </c>
      <c r="C142" s="53">
        <f t="shared" si="10"/>
        <v>247518.06371359155</v>
      </c>
      <c r="D142" s="53">
        <f t="shared" si="6"/>
        <v>979.7590021996333</v>
      </c>
      <c r="E142" s="53">
        <f t="shared" si="7"/>
        <v>585.1830073097186</v>
      </c>
      <c r="F142" s="53">
        <f t="shared" si="8"/>
        <v>246932.88070628184</v>
      </c>
      <c r="G142" s="53">
        <f t="shared" si="11"/>
        <v>122206.38577132922</v>
      </c>
    </row>
    <row r="143" spans="1:7" ht="12.75">
      <c r="A143" s="51">
        <f t="shared" si="9"/>
        <v>113</v>
      </c>
      <c r="B143" s="52">
        <f>IF('Tabla de Amortización'!A143&lt;&gt;"",DATE(YEAR([0]!Primer_pago),MONTH([0]!Primer_pago)+('Tabla de Amortización'!A143-1)*12/Pagos_por_año,DAY([0]!Primer_pago)),"")</f>
        <v>41883</v>
      </c>
      <c r="C143" s="53">
        <f t="shared" si="10"/>
        <v>246932.88070628184</v>
      </c>
      <c r="D143" s="53">
        <f t="shared" si="6"/>
        <v>977.442652795699</v>
      </c>
      <c r="E143" s="53">
        <f t="shared" si="7"/>
        <v>587.4993567136529</v>
      </c>
      <c r="F143" s="53">
        <f t="shared" si="8"/>
        <v>246345.3813495682</v>
      </c>
      <c r="G143" s="53">
        <f t="shared" si="11"/>
        <v>123183.82842412492</v>
      </c>
    </row>
    <row r="144" spans="1:7" ht="12.75">
      <c r="A144" s="51">
        <f t="shared" si="9"/>
        <v>114</v>
      </c>
      <c r="B144" s="52">
        <f>IF('Tabla de Amortización'!A144&lt;&gt;"",DATE(YEAR([0]!Primer_pago),MONTH([0]!Primer_pago)+('Tabla de Amortización'!A144-1)*12/Pagos_por_año,DAY([0]!Primer_pago)),"")</f>
        <v>41913</v>
      </c>
      <c r="C144" s="53">
        <f t="shared" si="10"/>
        <v>246345.3813495682</v>
      </c>
      <c r="D144" s="53">
        <f t="shared" si="6"/>
        <v>975.1171345087075</v>
      </c>
      <c r="E144" s="53">
        <f t="shared" si="7"/>
        <v>589.8248750006444</v>
      </c>
      <c r="F144" s="53">
        <f t="shared" si="8"/>
        <v>245755.55647456757</v>
      </c>
      <c r="G144" s="53">
        <f t="shared" si="11"/>
        <v>124158.94555863363</v>
      </c>
    </row>
    <row r="145" spans="1:7" ht="12.75">
      <c r="A145" s="51">
        <f t="shared" si="9"/>
        <v>115</v>
      </c>
      <c r="B145" s="52">
        <f>IF('Tabla de Amortización'!A145&lt;&gt;"",DATE(YEAR([0]!Primer_pago),MONTH([0]!Primer_pago)+('Tabla de Amortización'!A145-1)*12/Pagos_por_año,DAY([0]!Primer_pago)),"")</f>
        <v>41944</v>
      </c>
      <c r="C145" s="53">
        <f t="shared" si="10"/>
        <v>245755.55647456757</v>
      </c>
      <c r="D145" s="53">
        <f t="shared" si="6"/>
        <v>972.7824110451634</v>
      </c>
      <c r="E145" s="53">
        <f t="shared" si="7"/>
        <v>592.1595984641885</v>
      </c>
      <c r="F145" s="53">
        <f t="shared" si="8"/>
        <v>245163.3968761034</v>
      </c>
      <c r="G145" s="53">
        <f t="shared" si="11"/>
        <v>125131.72796967879</v>
      </c>
    </row>
    <row r="146" spans="1:7" ht="12.75">
      <c r="A146" s="51">
        <f t="shared" si="9"/>
        <v>116</v>
      </c>
      <c r="B146" s="52">
        <f>IF('Tabla de Amortización'!A146&lt;&gt;"",DATE(YEAR([0]!Primer_pago),MONTH([0]!Primer_pago)+('Tabla de Amortización'!A146-1)*12/Pagos_por_año,DAY([0]!Primer_pago)),"")</f>
        <v>41974</v>
      </c>
      <c r="C146" s="53">
        <f t="shared" si="10"/>
        <v>245163.3968761034</v>
      </c>
      <c r="D146" s="53">
        <f t="shared" si="6"/>
        <v>970.4384459679094</v>
      </c>
      <c r="E146" s="53">
        <f t="shared" si="7"/>
        <v>594.5035635414425</v>
      </c>
      <c r="F146" s="53">
        <f t="shared" si="8"/>
        <v>244568.89331256194</v>
      </c>
      <c r="G146" s="53">
        <f t="shared" si="11"/>
        <v>126102.1664156467</v>
      </c>
    </row>
    <row r="147" spans="1:7" ht="12.75">
      <c r="A147" s="51">
        <f t="shared" si="9"/>
        <v>117</v>
      </c>
      <c r="B147" s="52">
        <f>IF('Tabla de Amortización'!A147&lt;&gt;"",DATE(YEAR([0]!Primer_pago),MONTH([0]!Primer_pago)+('Tabla de Amortización'!A147-1)*12/Pagos_por_año,DAY([0]!Primer_pago)),"")</f>
        <v>42005</v>
      </c>
      <c r="C147" s="53">
        <f t="shared" si="10"/>
        <v>244568.89331256194</v>
      </c>
      <c r="D147" s="53">
        <f t="shared" si="6"/>
        <v>968.0852026955578</v>
      </c>
      <c r="E147" s="53">
        <f t="shared" si="7"/>
        <v>596.8568068137942</v>
      </c>
      <c r="F147" s="53">
        <f t="shared" si="8"/>
        <v>243972.03650574814</v>
      </c>
      <c r="G147" s="53">
        <f t="shared" si="11"/>
        <v>127070.25161834226</v>
      </c>
    </row>
    <row r="148" spans="1:7" ht="12.75">
      <c r="A148" s="51">
        <f t="shared" si="9"/>
        <v>118</v>
      </c>
      <c r="B148" s="52">
        <f>IF('Tabla de Amortización'!A148&lt;&gt;"",DATE(YEAR([0]!Primer_pago),MONTH([0]!Primer_pago)+('Tabla de Amortización'!A148-1)*12/Pagos_por_año,DAY([0]!Primer_pago)),"")</f>
        <v>42036</v>
      </c>
      <c r="C148" s="53">
        <f t="shared" si="10"/>
        <v>243972.03650574814</v>
      </c>
      <c r="D148" s="53">
        <f t="shared" si="6"/>
        <v>965.7226445019198</v>
      </c>
      <c r="E148" s="53">
        <f t="shared" si="7"/>
        <v>599.2193650074321</v>
      </c>
      <c r="F148" s="53">
        <f t="shared" si="8"/>
        <v>243372.81714074072</v>
      </c>
      <c r="G148" s="53">
        <f t="shared" si="11"/>
        <v>128035.97426284417</v>
      </c>
    </row>
    <row r="149" spans="1:7" ht="12.75">
      <c r="A149" s="51">
        <f t="shared" si="9"/>
        <v>119</v>
      </c>
      <c r="B149" s="52">
        <f>IF('Tabla de Amortización'!A149&lt;&gt;"",DATE(YEAR([0]!Primer_pago),MONTH([0]!Primer_pago)+('Tabla de Amortización'!A149-1)*12/Pagos_por_año,DAY([0]!Primer_pago)),"")</f>
        <v>42064</v>
      </c>
      <c r="C149" s="53">
        <f t="shared" si="10"/>
        <v>243372.81714074072</v>
      </c>
      <c r="D149" s="53">
        <f t="shared" si="6"/>
        <v>963.3507345154321</v>
      </c>
      <c r="E149" s="53">
        <f t="shared" si="7"/>
        <v>601.5912749939198</v>
      </c>
      <c r="F149" s="53">
        <f t="shared" si="8"/>
        <v>242771.2258657468</v>
      </c>
      <c r="G149" s="53">
        <f t="shared" si="11"/>
        <v>128999.32499735961</v>
      </c>
    </row>
    <row r="150" spans="1:7" ht="12.75">
      <c r="A150" s="51">
        <f t="shared" si="9"/>
        <v>120</v>
      </c>
      <c r="B150" s="52">
        <f>IF('Tabla de Amortización'!A150&lt;&gt;"",DATE(YEAR([0]!Primer_pago),MONTH([0]!Primer_pago)+('Tabla de Amortización'!A150-1)*12/Pagos_por_año,DAY([0]!Primer_pago)),"")</f>
        <v>42095</v>
      </c>
      <c r="C150" s="53">
        <f t="shared" si="10"/>
        <v>242771.2258657468</v>
      </c>
      <c r="D150" s="53">
        <f t="shared" si="6"/>
        <v>960.9694357185812</v>
      </c>
      <c r="E150" s="53">
        <f t="shared" si="7"/>
        <v>603.9725737907708</v>
      </c>
      <c r="F150" s="53">
        <f t="shared" si="8"/>
        <v>242167.25329195603</v>
      </c>
      <c r="G150" s="53">
        <f t="shared" si="11"/>
        <v>129960.29443307819</v>
      </c>
    </row>
    <row r="151" spans="1:7" ht="12.75">
      <c r="A151" s="51">
        <f t="shared" si="9"/>
        <v>121</v>
      </c>
      <c r="B151" s="52">
        <f>IF('Tabla de Amortización'!A151&lt;&gt;"",DATE(YEAR([0]!Primer_pago),MONTH([0]!Primer_pago)+('Tabla de Amortización'!A151-1)*12/Pagos_por_año,DAY([0]!Primer_pago)),"")</f>
        <v>42125</v>
      </c>
      <c r="C151" s="53">
        <f t="shared" si="10"/>
        <v>242167.25329195603</v>
      </c>
      <c r="D151" s="53">
        <f t="shared" si="6"/>
        <v>958.578710947326</v>
      </c>
      <c r="E151" s="53">
        <f t="shared" si="7"/>
        <v>606.3632985620259</v>
      </c>
      <c r="F151" s="53">
        <f t="shared" si="8"/>
        <v>241560.889993394</v>
      </c>
      <c r="G151" s="53">
        <f t="shared" si="11"/>
        <v>130918.87314402552</v>
      </c>
    </row>
    <row r="152" spans="1:7" ht="12.75">
      <c r="A152" s="51">
        <f t="shared" si="9"/>
        <v>122</v>
      </c>
      <c r="B152" s="52">
        <f>IF('Tabla de Amortización'!A152&lt;&gt;"",DATE(YEAR([0]!Primer_pago),MONTH([0]!Primer_pago)+('Tabla de Amortización'!A152-1)*12/Pagos_por_año,DAY([0]!Primer_pago)),"")</f>
        <v>42156</v>
      </c>
      <c r="C152" s="53">
        <f t="shared" si="10"/>
        <v>241560.889993394</v>
      </c>
      <c r="D152" s="53">
        <f t="shared" si="6"/>
        <v>956.178522890518</v>
      </c>
      <c r="E152" s="53">
        <f t="shared" si="7"/>
        <v>608.7634866188339</v>
      </c>
      <c r="F152" s="53">
        <f t="shared" si="8"/>
        <v>240952.12650677515</v>
      </c>
      <c r="G152" s="53">
        <f t="shared" si="11"/>
        <v>131875.05166691603</v>
      </c>
    </row>
    <row r="153" spans="1:7" ht="12.75">
      <c r="A153" s="51">
        <f t="shared" si="9"/>
        <v>123</v>
      </c>
      <c r="B153" s="52">
        <f>IF('Tabla de Amortización'!A153&lt;&gt;"",DATE(YEAR([0]!Primer_pago),MONTH([0]!Primer_pago)+('Tabla de Amortización'!A153-1)*12/Pagos_por_año,DAY([0]!Primer_pago)),"")</f>
        <v>42186</v>
      </c>
      <c r="C153" s="53">
        <f t="shared" si="10"/>
        <v>240952.12650677515</v>
      </c>
      <c r="D153" s="53">
        <f t="shared" si="6"/>
        <v>953.7688340893184</v>
      </c>
      <c r="E153" s="53">
        <f t="shared" si="7"/>
        <v>611.1731754200335</v>
      </c>
      <c r="F153" s="53">
        <f t="shared" si="8"/>
        <v>240340.95333135512</v>
      </c>
      <c r="G153" s="53">
        <f t="shared" si="11"/>
        <v>132828.82050100534</v>
      </c>
    </row>
    <row r="154" spans="1:7" ht="12.75">
      <c r="A154" s="51">
        <f t="shared" si="9"/>
        <v>124</v>
      </c>
      <c r="B154" s="52">
        <f>IF('Tabla de Amortización'!A154&lt;&gt;"",DATE(YEAR([0]!Primer_pago),MONTH([0]!Primer_pago)+('Tabla de Amortización'!A154-1)*12/Pagos_por_año,DAY([0]!Primer_pago)),"")</f>
        <v>42217</v>
      </c>
      <c r="C154" s="53">
        <f t="shared" si="10"/>
        <v>240340.95333135512</v>
      </c>
      <c r="D154" s="53">
        <f t="shared" si="6"/>
        <v>951.3496069366141</v>
      </c>
      <c r="E154" s="53">
        <f t="shared" si="7"/>
        <v>613.5924025727378</v>
      </c>
      <c r="F154" s="53">
        <f t="shared" si="8"/>
        <v>239727.36092878238</v>
      </c>
      <c r="G154" s="53">
        <f t="shared" si="11"/>
        <v>133780.17010794196</v>
      </c>
    </row>
    <row r="155" spans="1:7" ht="12.75">
      <c r="A155" s="51">
        <f t="shared" si="9"/>
        <v>125</v>
      </c>
      <c r="B155" s="52">
        <f>IF('Tabla de Amortización'!A155&lt;&gt;"",DATE(YEAR([0]!Primer_pago),MONTH([0]!Primer_pago)+('Tabla de Amortización'!A155-1)*12/Pagos_por_año,DAY([0]!Primer_pago)),"")</f>
        <v>42248</v>
      </c>
      <c r="C155" s="53">
        <f t="shared" si="10"/>
        <v>239727.36092878238</v>
      </c>
      <c r="D155" s="53">
        <f t="shared" si="6"/>
        <v>948.9208036764303</v>
      </c>
      <c r="E155" s="53">
        <f t="shared" si="7"/>
        <v>616.0212058329216</v>
      </c>
      <c r="F155" s="53">
        <f t="shared" si="8"/>
        <v>239111.33972294946</v>
      </c>
      <c r="G155" s="53">
        <f t="shared" si="11"/>
        <v>134729.09091161838</v>
      </c>
    </row>
    <row r="156" spans="1:7" ht="12.75">
      <c r="A156" s="51">
        <f t="shared" si="9"/>
        <v>126</v>
      </c>
      <c r="B156" s="52">
        <f>IF('Tabla de Amortización'!A156&lt;&gt;"",DATE(YEAR([0]!Primer_pago),MONTH([0]!Primer_pago)+('Tabla de Amortización'!A156-1)*12/Pagos_por_año,DAY([0]!Primer_pago)),"")</f>
        <v>42278</v>
      </c>
      <c r="C156" s="53">
        <f t="shared" si="10"/>
        <v>239111.33972294946</v>
      </c>
      <c r="D156" s="53">
        <f t="shared" si="6"/>
        <v>946.4823864033417</v>
      </c>
      <c r="E156" s="53">
        <f t="shared" si="7"/>
        <v>618.4596231060102</v>
      </c>
      <c r="F156" s="53">
        <f t="shared" si="8"/>
        <v>238492.88009984346</v>
      </c>
      <c r="G156" s="53">
        <f t="shared" si="11"/>
        <v>135675.5732980217</v>
      </c>
    </row>
    <row r="157" spans="1:7" ht="12.75">
      <c r="A157" s="51">
        <f t="shared" si="9"/>
        <v>127</v>
      </c>
      <c r="B157" s="52">
        <f>IF('Tabla de Amortización'!A157&lt;&gt;"",DATE(YEAR([0]!Primer_pago),MONTH([0]!Primer_pago)+('Tabla de Amortización'!A157-1)*12/Pagos_por_año,DAY([0]!Primer_pago)),"")</f>
        <v>42309</v>
      </c>
      <c r="C157" s="53">
        <f t="shared" si="10"/>
        <v>238492.88009984346</v>
      </c>
      <c r="D157" s="53">
        <f t="shared" si="6"/>
        <v>944.0343170618804</v>
      </c>
      <c r="E157" s="53">
        <f t="shared" si="7"/>
        <v>620.9076924474715</v>
      </c>
      <c r="F157" s="53">
        <f t="shared" si="8"/>
        <v>237871.97240739598</v>
      </c>
      <c r="G157" s="53">
        <f t="shared" si="11"/>
        <v>136619.6076150836</v>
      </c>
    </row>
    <row r="158" spans="1:7" ht="12.75">
      <c r="A158" s="51">
        <f t="shared" si="9"/>
        <v>128</v>
      </c>
      <c r="B158" s="52">
        <f>IF('Tabla de Amortización'!A158&lt;&gt;"",DATE(YEAR([0]!Primer_pago),MONTH([0]!Primer_pago)+('Tabla de Amortización'!A158-1)*12/Pagos_por_año,DAY([0]!Primer_pago)),"")</f>
        <v>42339</v>
      </c>
      <c r="C158" s="53">
        <f t="shared" si="10"/>
        <v>237871.97240739598</v>
      </c>
      <c r="D158" s="53">
        <f t="shared" si="6"/>
        <v>941.5765574459425</v>
      </c>
      <c r="E158" s="53">
        <f t="shared" si="7"/>
        <v>623.3654520634094</v>
      </c>
      <c r="F158" s="53">
        <f t="shared" si="8"/>
        <v>237248.60695533257</v>
      </c>
      <c r="G158" s="53">
        <f t="shared" si="11"/>
        <v>137561.18417252955</v>
      </c>
    </row>
    <row r="159" spans="1:7" ht="12.75">
      <c r="A159" s="51">
        <f t="shared" si="9"/>
        <v>129</v>
      </c>
      <c r="B159" s="52">
        <f>IF('Tabla de Amortización'!A159&lt;&gt;"",DATE(YEAR([0]!Primer_pago),MONTH([0]!Primer_pago)+('Tabla de Amortización'!A159-1)*12/Pagos_por_año,DAY([0]!Primer_pago)),"")</f>
        <v>42370</v>
      </c>
      <c r="C159" s="53">
        <f t="shared" si="10"/>
        <v>237248.60695533257</v>
      </c>
      <c r="D159" s="53">
        <f aca="true" t="shared" si="12" ref="D159:D222">Interés</f>
        <v>939.1090691981915</v>
      </c>
      <c r="E159" s="53">
        <f aca="true" t="shared" si="13" ref="E159:E222">Capital</f>
        <v>625.8329403111604</v>
      </c>
      <c r="F159" s="53">
        <f aca="true" t="shared" si="14" ref="F159:F222">Saldo.Final</f>
        <v>236622.7740150214</v>
      </c>
      <c r="G159" s="53">
        <f t="shared" si="11"/>
        <v>138500.29324172775</v>
      </c>
    </row>
    <row r="160" spans="1:7" ht="12.75">
      <c r="A160" s="51">
        <f aca="true" t="shared" si="15" ref="A160:A223">IF(OR(A159="",A159=Total_Pagos),"",A159+1)</f>
        <v>130</v>
      </c>
      <c r="B160" s="52">
        <f>IF('Tabla de Amortización'!A160&lt;&gt;"",DATE(YEAR([0]!Primer_pago),MONTH([0]!Primer_pago)+('Tabla de Amortización'!A160-1)*12/Pagos_por_año,DAY([0]!Primer_pago)),"")</f>
        <v>42401</v>
      </c>
      <c r="C160" s="53">
        <f aca="true" t="shared" si="16" ref="C160:C223">Saldo.Inicial</f>
        <v>236622.7740150214</v>
      </c>
      <c r="D160" s="53">
        <f t="shared" si="12"/>
        <v>936.6318138094598</v>
      </c>
      <c r="E160" s="53">
        <f t="shared" si="13"/>
        <v>628.3101956998921</v>
      </c>
      <c r="F160" s="53">
        <f t="shared" si="14"/>
        <v>235994.4638193215</v>
      </c>
      <c r="G160" s="53">
        <f aca="true" t="shared" si="17" ref="G160:G223">Interés.Acum</f>
        <v>139436.9250555372</v>
      </c>
    </row>
    <row r="161" spans="1:7" ht="12.75">
      <c r="A161" s="51">
        <f t="shared" si="15"/>
        <v>131</v>
      </c>
      <c r="B161" s="52">
        <f>IF('Tabla de Amortización'!A161&lt;&gt;"",DATE(YEAR([0]!Primer_pago),MONTH([0]!Primer_pago)+('Tabla de Amortización'!A161-1)*12/Pagos_por_año,DAY([0]!Primer_pago)),"")</f>
        <v>42430</v>
      </c>
      <c r="C161" s="53">
        <f t="shared" si="16"/>
        <v>235994.4638193215</v>
      </c>
      <c r="D161" s="53">
        <f t="shared" si="12"/>
        <v>934.1447526181477</v>
      </c>
      <c r="E161" s="53">
        <f t="shared" si="13"/>
        <v>630.7972568912043</v>
      </c>
      <c r="F161" s="53">
        <f t="shared" si="14"/>
        <v>235363.6665624303</v>
      </c>
      <c r="G161" s="53">
        <f t="shared" si="17"/>
        <v>140371.06980815536</v>
      </c>
    </row>
    <row r="162" spans="1:7" ht="12.75">
      <c r="A162" s="51">
        <f t="shared" si="15"/>
        <v>132</v>
      </c>
      <c r="B162" s="52">
        <f>IF('Tabla de Amortización'!A162&lt;&gt;"",DATE(YEAR([0]!Primer_pago),MONTH([0]!Primer_pago)+('Tabla de Amortización'!A162-1)*12/Pagos_por_año,DAY([0]!Primer_pago)),"")</f>
        <v>42461</v>
      </c>
      <c r="C162" s="53">
        <f t="shared" si="16"/>
        <v>235363.6665624303</v>
      </c>
      <c r="D162" s="53">
        <f t="shared" si="12"/>
        <v>931.64784680962</v>
      </c>
      <c r="E162" s="53">
        <f t="shared" si="13"/>
        <v>633.2941626997319</v>
      </c>
      <c r="F162" s="53">
        <f t="shared" si="14"/>
        <v>234730.37239973058</v>
      </c>
      <c r="G162" s="53">
        <f t="shared" si="17"/>
        <v>141302.71765496497</v>
      </c>
    </row>
    <row r="163" spans="1:7" ht="12.75">
      <c r="A163" s="51">
        <f t="shared" si="15"/>
        <v>133</v>
      </c>
      <c r="B163" s="52">
        <f>IF('Tabla de Amortización'!A163&lt;&gt;"",DATE(YEAR([0]!Primer_pago),MONTH([0]!Primer_pago)+('Tabla de Amortización'!A163-1)*12/Pagos_por_año,DAY([0]!Primer_pago)),"")</f>
        <v>42491</v>
      </c>
      <c r="C163" s="53">
        <f t="shared" si="16"/>
        <v>234730.37239973058</v>
      </c>
      <c r="D163" s="53">
        <f t="shared" si="12"/>
        <v>929.1410574156002</v>
      </c>
      <c r="E163" s="53">
        <f t="shared" si="13"/>
        <v>635.8009520937517</v>
      </c>
      <c r="F163" s="53">
        <f t="shared" si="14"/>
        <v>234094.57144763682</v>
      </c>
      <c r="G163" s="53">
        <f t="shared" si="17"/>
        <v>142231.85871238058</v>
      </c>
    </row>
    <row r="164" spans="1:7" ht="12.75">
      <c r="A164" s="51">
        <f t="shared" si="15"/>
        <v>134</v>
      </c>
      <c r="B164" s="52">
        <f>IF('Tabla de Amortización'!A164&lt;&gt;"",DATE(YEAR([0]!Primer_pago),MONTH([0]!Primer_pago)+('Tabla de Amortización'!A164-1)*12/Pagos_por_año,DAY([0]!Primer_pago)),"")</f>
        <v>42522</v>
      </c>
      <c r="C164" s="53">
        <f t="shared" si="16"/>
        <v>234094.57144763682</v>
      </c>
      <c r="D164" s="53">
        <f t="shared" si="12"/>
        <v>926.6243453135625</v>
      </c>
      <c r="E164" s="53">
        <f t="shared" si="13"/>
        <v>638.3176641957895</v>
      </c>
      <c r="F164" s="53">
        <f t="shared" si="14"/>
        <v>233456.25378344103</v>
      </c>
      <c r="G164" s="53">
        <f t="shared" si="17"/>
        <v>143158.48305769413</v>
      </c>
    </row>
    <row r="165" spans="1:7" ht="12.75">
      <c r="A165" s="51">
        <f t="shared" si="15"/>
        <v>135</v>
      </c>
      <c r="B165" s="52">
        <f>IF('Tabla de Amortización'!A165&lt;&gt;"",DATE(YEAR([0]!Primer_pago),MONTH([0]!Primer_pago)+('Tabla de Amortización'!A165-1)*12/Pagos_por_año,DAY([0]!Primer_pago)),"")</f>
        <v>42552</v>
      </c>
      <c r="C165" s="53">
        <f t="shared" si="16"/>
        <v>233456.25378344103</v>
      </c>
      <c r="D165" s="53">
        <f t="shared" si="12"/>
        <v>924.0976712261208</v>
      </c>
      <c r="E165" s="53">
        <f t="shared" si="13"/>
        <v>640.8443382832311</v>
      </c>
      <c r="F165" s="53">
        <f t="shared" si="14"/>
        <v>232815.4094451578</v>
      </c>
      <c r="G165" s="53">
        <f t="shared" si="17"/>
        <v>144082.58072892026</v>
      </c>
    </row>
    <row r="166" spans="1:7" ht="12.75">
      <c r="A166" s="51">
        <f t="shared" si="15"/>
        <v>136</v>
      </c>
      <c r="B166" s="52">
        <f>IF('Tabla de Amortización'!A166&lt;&gt;"",DATE(YEAR([0]!Primer_pago),MONTH([0]!Primer_pago)+('Tabla de Amortización'!A166-1)*12/Pagos_por_año,DAY([0]!Primer_pago)),"")</f>
        <v>42583</v>
      </c>
      <c r="C166" s="53">
        <f t="shared" si="16"/>
        <v>232815.4094451578</v>
      </c>
      <c r="D166" s="53">
        <f t="shared" si="12"/>
        <v>921.5609957204164</v>
      </c>
      <c r="E166" s="53">
        <f t="shared" si="13"/>
        <v>643.3810137889355</v>
      </c>
      <c r="F166" s="53">
        <f t="shared" si="14"/>
        <v>232172.02843136888</v>
      </c>
      <c r="G166" s="53">
        <f t="shared" si="17"/>
        <v>145004.14172464068</v>
      </c>
    </row>
    <row r="167" spans="1:7" ht="12.75">
      <c r="A167" s="51">
        <f t="shared" si="15"/>
        <v>137</v>
      </c>
      <c r="B167" s="52">
        <f>IF('Tabla de Amortización'!A167&lt;&gt;"",DATE(YEAR([0]!Primer_pago),MONTH([0]!Primer_pago)+('Tabla de Amortización'!A167-1)*12/Pagos_por_año,DAY([0]!Primer_pago)),"")</f>
        <v>42614</v>
      </c>
      <c r="C167" s="53">
        <f t="shared" si="16"/>
        <v>232172.02843136888</v>
      </c>
      <c r="D167" s="53">
        <f t="shared" si="12"/>
        <v>919.0142792075019</v>
      </c>
      <c r="E167" s="53">
        <f t="shared" si="13"/>
        <v>645.92773030185</v>
      </c>
      <c r="F167" s="53">
        <f t="shared" si="14"/>
        <v>231526.10070106701</v>
      </c>
      <c r="G167" s="53">
        <f t="shared" si="17"/>
        <v>145923.15600384818</v>
      </c>
    </row>
    <row r="168" spans="1:7" ht="12.75">
      <c r="A168" s="51">
        <f t="shared" si="15"/>
        <v>138</v>
      </c>
      <c r="B168" s="52">
        <f>IF('Tabla de Amortización'!A168&lt;&gt;"",DATE(YEAR([0]!Primer_pago),MONTH([0]!Primer_pago)+('Tabla de Amortización'!A168-1)*12/Pagos_por_año,DAY([0]!Primer_pago)),"")</f>
        <v>42644</v>
      </c>
      <c r="C168" s="53">
        <f t="shared" si="16"/>
        <v>231526.10070106701</v>
      </c>
      <c r="D168" s="53">
        <f t="shared" si="12"/>
        <v>916.4574819417237</v>
      </c>
      <c r="E168" s="53">
        <f t="shared" si="13"/>
        <v>648.4845275676282</v>
      </c>
      <c r="F168" s="53">
        <f t="shared" si="14"/>
        <v>230877.61617349938</v>
      </c>
      <c r="G168" s="53">
        <f t="shared" si="17"/>
        <v>146839.61348578992</v>
      </c>
    </row>
    <row r="169" spans="1:7" ht="12.75">
      <c r="A169" s="51">
        <f t="shared" si="15"/>
        <v>139</v>
      </c>
      <c r="B169" s="52">
        <f>IF('Tabla de Amortización'!A169&lt;&gt;"",DATE(YEAR([0]!Primer_pago),MONTH([0]!Primer_pago)+('Tabla de Amortización'!A169-1)*12/Pagos_por_año,DAY([0]!Primer_pago)),"")</f>
        <v>42675</v>
      </c>
      <c r="C169" s="53">
        <f t="shared" si="16"/>
        <v>230877.61617349938</v>
      </c>
      <c r="D169" s="53">
        <f t="shared" si="12"/>
        <v>913.8905640201018</v>
      </c>
      <c r="E169" s="53">
        <f t="shared" si="13"/>
        <v>651.0514454892501</v>
      </c>
      <c r="F169" s="53">
        <f t="shared" si="14"/>
        <v>230226.56472801013</v>
      </c>
      <c r="G169" s="53">
        <f t="shared" si="17"/>
        <v>147753.50404981003</v>
      </c>
    </row>
    <row r="170" spans="1:7" ht="12.75">
      <c r="A170" s="51">
        <f t="shared" si="15"/>
        <v>140</v>
      </c>
      <c r="B170" s="52">
        <f>IF('Tabla de Amortización'!A170&lt;&gt;"",DATE(YEAR([0]!Primer_pago),MONTH([0]!Primer_pago)+('Tabla de Amortización'!A170-1)*12/Pagos_por_año,DAY([0]!Primer_pago)),"")</f>
        <v>42705</v>
      </c>
      <c r="C170" s="53">
        <f t="shared" si="16"/>
        <v>230226.56472801013</v>
      </c>
      <c r="D170" s="53">
        <f t="shared" si="12"/>
        <v>911.3134853817069</v>
      </c>
      <c r="E170" s="53">
        <f t="shared" si="13"/>
        <v>653.628524127645</v>
      </c>
      <c r="F170" s="53">
        <f t="shared" si="14"/>
        <v>229572.93620388248</v>
      </c>
      <c r="G170" s="53">
        <f t="shared" si="17"/>
        <v>148664.81753519175</v>
      </c>
    </row>
    <row r="171" spans="1:7" ht="12.75">
      <c r="A171" s="51">
        <f t="shared" si="15"/>
        <v>141</v>
      </c>
      <c r="B171" s="52">
        <f>IF('Tabla de Amortización'!A171&lt;&gt;"",DATE(YEAR([0]!Primer_pago),MONTH([0]!Primer_pago)+('Tabla de Amortización'!A171-1)*12/Pagos_por_año,DAY([0]!Primer_pago)),"")</f>
        <v>42736</v>
      </c>
      <c r="C171" s="53">
        <f t="shared" si="16"/>
        <v>229572.93620388248</v>
      </c>
      <c r="D171" s="53">
        <f t="shared" si="12"/>
        <v>908.7262058070348</v>
      </c>
      <c r="E171" s="53">
        <f t="shared" si="13"/>
        <v>656.2158037023171</v>
      </c>
      <c r="F171" s="53">
        <f t="shared" si="14"/>
        <v>228916.72040018017</v>
      </c>
      <c r="G171" s="53">
        <f t="shared" si="17"/>
        <v>149573.54374099878</v>
      </c>
    </row>
    <row r="172" spans="1:7" ht="12.75">
      <c r="A172" s="51">
        <f t="shared" si="15"/>
        <v>142</v>
      </c>
      <c r="B172" s="52">
        <f>IF('Tabla de Amortización'!A172&lt;&gt;"",DATE(YEAR([0]!Primer_pago),MONTH([0]!Primer_pago)+('Tabla de Amortización'!A172-1)*12/Pagos_por_año,DAY([0]!Primer_pago)),"")</f>
        <v>42767</v>
      </c>
      <c r="C172" s="53">
        <f t="shared" si="16"/>
        <v>228916.72040018017</v>
      </c>
      <c r="D172" s="53">
        <f t="shared" si="12"/>
        <v>906.1286849173799</v>
      </c>
      <c r="E172" s="53">
        <f t="shared" si="13"/>
        <v>658.813324591972</v>
      </c>
      <c r="F172" s="53">
        <f t="shared" si="14"/>
        <v>228257.9070755882</v>
      </c>
      <c r="G172" s="53">
        <f t="shared" si="17"/>
        <v>150479.67242591616</v>
      </c>
    </row>
    <row r="173" spans="1:7" ht="12.75">
      <c r="A173" s="51">
        <f t="shared" si="15"/>
        <v>143</v>
      </c>
      <c r="B173" s="52">
        <f>IF('Tabla de Amortización'!A173&lt;&gt;"",DATE(YEAR([0]!Primer_pago),MONTH([0]!Primer_pago)+('Tabla de Amortización'!A173-1)*12/Pagos_por_año,DAY([0]!Primer_pago)),"")</f>
        <v>42795</v>
      </c>
      <c r="C173" s="53">
        <f t="shared" si="16"/>
        <v>228257.9070755882</v>
      </c>
      <c r="D173" s="53">
        <f t="shared" si="12"/>
        <v>903.5208821742034</v>
      </c>
      <c r="E173" s="53">
        <f t="shared" si="13"/>
        <v>661.4211273351485</v>
      </c>
      <c r="F173" s="53">
        <f t="shared" si="14"/>
        <v>227596.48594825307</v>
      </c>
      <c r="G173" s="53">
        <f t="shared" si="17"/>
        <v>151383.19330809035</v>
      </c>
    </row>
    <row r="174" spans="1:7" ht="12.75">
      <c r="A174" s="51">
        <f t="shared" si="15"/>
        <v>144</v>
      </c>
      <c r="B174" s="52">
        <f>IF('Tabla de Amortización'!A174&lt;&gt;"",DATE(YEAR([0]!Primer_pago),MONTH([0]!Primer_pago)+('Tabla de Amortización'!A174-1)*12/Pagos_por_año,DAY([0]!Primer_pago)),"")</f>
        <v>42826</v>
      </c>
      <c r="C174" s="53">
        <f t="shared" si="16"/>
        <v>227596.48594825307</v>
      </c>
      <c r="D174" s="53">
        <f t="shared" si="12"/>
        <v>900.9027568785018</v>
      </c>
      <c r="E174" s="53">
        <f t="shared" si="13"/>
        <v>664.0392526308501</v>
      </c>
      <c r="F174" s="53">
        <f t="shared" si="14"/>
        <v>226932.44669562223</v>
      </c>
      <c r="G174" s="53">
        <f t="shared" si="17"/>
        <v>152284.09606496885</v>
      </c>
    </row>
    <row r="175" spans="1:7" ht="12.75">
      <c r="A175" s="51">
        <f t="shared" si="15"/>
        <v>145</v>
      </c>
      <c r="B175" s="52">
        <f>IF('Tabla de Amortización'!A175&lt;&gt;"",DATE(YEAR([0]!Primer_pago),MONTH([0]!Primer_pago)+('Tabla de Amortización'!A175-1)*12/Pagos_por_año,DAY([0]!Primer_pago)),"")</f>
        <v>42856</v>
      </c>
      <c r="C175" s="53">
        <f t="shared" si="16"/>
        <v>226932.44669562223</v>
      </c>
      <c r="D175" s="53">
        <f t="shared" si="12"/>
        <v>898.2742681701714</v>
      </c>
      <c r="E175" s="53">
        <f t="shared" si="13"/>
        <v>666.6677413391806</v>
      </c>
      <c r="F175" s="53">
        <f t="shared" si="14"/>
        <v>226265.77895428304</v>
      </c>
      <c r="G175" s="53">
        <f t="shared" si="17"/>
        <v>153182.37033313903</v>
      </c>
    </row>
    <row r="176" spans="1:7" ht="12.75">
      <c r="A176" s="51">
        <f t="shared" si="15"/>
        <v>146</v>
      </c>
      <c r="B176" s="52">
        <f>IF('Tabla de Amortización'!A176&lt;&gt;"",DATE(YEAR([0]!Primer_pago),MONTH([0]!Primer_pago)+('Tabla de Amortización'!A176-1)*12/Pagos_por_año,DAY([0]!Primer_pago)),"")</f>
        <v>42887</v>
      </c>
      <c r="C176" s="53">
        <f t="shared" si="16"/>
        <v>226265.77895428304</v>
      </c>
      <c r="D176" s="53">
        <f t="shared" si="12"/>
        <v>895.6353750273704</v>
      </c>
      <c r="E176" s="53">
        <f t="shared" si="13"/>
        <v>669.3066344819815</v>
      </c>
      <c r="F176" s="53">
        <f t="shared" si="14"/>
        <v>225596.47231980108</v>
      </c>
      <c r="G176" s="53">
        <f t="shared" si="17"/>
        <v>154078.0057081664</v>
      </c>
    </row>
    <row r="177" spans="1:7" ht="12.75">
      <c r="A177" s="51">
        <f t="shared" si="15"/>
        <v>147</v>
      </c>
      <c r="B177" s="52">
        <f>IF('Tabla de Amortización'!A177&lt;&gt;"",DATE(YEAR([0]!Primer_pago),MONTH([0]!Primer_pago)+('Tabla de Amortización'!A177-1)*12/Pagos_por_año,DAY([0]!Primer_pago)),"")</f>
        <v>42917</v>
      </c>
      <c r="C177" s="53">
        <f t="shared" si="16"/>
        <v>225596.47231980108</v>
      </c>
      <c r="D177" s="53">
        <f t="shared" si="12"/>
        <v>892.9860362658793</v>
      </c>
      <c r="E177" s="53">
        <f t="shared" si="13"/>
        <v>671.9559732434726</v>
      </c>
      <c r="F177" s="53">
        <f t="shared" si="14"/>
        <v>224924.5163465576</v>
      </c>
      <c r="G177" s="53">
        <f t="shared" si="17"/>
        <v>154970.99174443228</v>
      </c>
    </row>
    <row r="178" spans="1:7" ht="12.75">
      <c r="A178" s="51">
        <f t="shared" si="15"/>
        <v>148</v>
      </c>
      <c r="B178" s="52">
        <f>IF('Tabla de Amortización'!A178&lt;&gt;"",DATE(YEAR([0]!Primer_pago),MONTH([0]!Primer_pago)+('Tabla de Amortización'!A178-1)*12/Pagos_por_año,DAY([0]!Primer_pago)),"")</f>
        <v>42948</v>
      </c>
      <c r="C178" s="53">
        <f t="shared" si="16"/>
        <v>224924.5163465576</v>
      </c>
      <c r="D178" s="53">
        <f t="shared" si="12"/>
        <v>890.3262105384572</v>
      </c>
      <c r="E178" s="53">
        <f t="shared" si="13"/>
        <v>674.6157989708947</v>
      </c>
      <c r="F178" s="53">
        <f t="shared" si="14"/>
        <v>224249.9005475867</v>
      </c>
      <c r="G178" s="53">
        <f t="shared" si="17"/>
        <v>155861.31795497073</v>
      </c>
    </row>
    <row r="179" spans="1:7" ht="12.75">
      <c r="A179" s="51">
        <f t="shared" si="15"/>
        <v>149</v>
      </c>
      <c r="B179" s="52">
        <f>IF('Tabla de Amortización'!A179&lt;&gt;"",DATE(YEAR([0]!Primer_pago),MONTH([0]!Primer_pago)+('Tabla de Amortización'!A179-1)*12/Pagos_por_año,DAY([0]!Primer_pago)),"")</f>
        <v>42979</v>
      </c>
      <c r="C179" s="53">
        <f t="shared" si="16"/>
        <v>224249.9005475867</v>
      </c>
      <c r="D179" s="53">
        <f t="shared" si="12"/>
        <v>887.6558563341974</v>
      </c>
      <c r="E179" s="53">
        <f t="shared" si="13"/>
        <v>677.2861531751545</v>
      </c>
      <c r="F179" s="53">
        <f t="shared" si="14"/>
        <v>223572.61439441156</v>
      </c>
      <c r="G179" s="53">
        <f t="shared" si="17"/>
        <v>156748.97381130492</v>
      </c>
    </row>
    <row r="180" spans="1:7" ht="12.75">
      <c r="A180" s="51">
        <f t="shared" si="15"/>
        <v>150</v>
      </c>
      <c r="B180" s="52">
        <f>IF('Tabla de Amortización'!A180&lt;&gt;"",DATE(YEAR([0]!Primer_pago),MONTH([0]!Primer_pago)+('Tabla de Amortización'!A180-1)*12/Pagos_por_año,DAY([0]!Primer_pago)),"")</f>
        <v>43009</v>
      </c>
      <c r="C180" s="53">
        <f t="shared" si="16"/>
        <v>223572.61439441156</v>
      </c>
      <c r="D180" s="53">
        <f t="shared" si="12"/>
        <v>884.9749319778791</v>
      </c>
      <c r="E180" s="53">
        <f t="shared" si="13"/>
        <v>679.9670775314728</v>
      </c>
      <c r="F180" s="53">
        <f t="shared" si="14"/>
        <v>222892.6473168801</v>
      </c>
      <c r="G180" s="53">
        <f t="shared" si="17"/>
        <v>157633.94874328282</v>
      </c>
    </row>
    <row r="181" spans="1:7" ht="12.75">
      <c r="A181" s="51">
        <f t="shared" si="15"/>
        <v>151</v>
      </c>
      <c r="B181" s="52">
        <f>IF('Tabla de Amortización'!A181&lt;&gt;"",DATE(YEAR([0]!Primer_pago),MONTH([0]!Primer_pago)+('Tabla de Amortización'!A181-1)*12/Pagos_por_año,DAY([0]!Primer_pago)),"")</f>
        <v>43040</v>
      </c>
      <c r="C181" s="53">
        <f t="shared" si="16"/>
        <v>222892.6473168801</v>
      </c>
      <c r="D181" s="53">
        <f t="shared" si="12"/>
        <v>882.283395629317</v>
      </c>
      <c r="E181" s="53">
        <f t="shared" si="13"/>
        <v>682.6586138800349</v>
      </c>
      <c r="F181" s="53">
        <f t="shared" si="14"/>
        <v>222209.98870300004</v>
      </c>
      <c r="G181" s="53">
        <f t="shared" si="17"/>
        <v>158516.23213891214</v>
      </c>
    </row>
    <row r="182" spans="1:7" ht="12.75">
      <c r="A182" s="51">
        <f t="shared" si="15"/>
        <v>152</v>
      </c>
      <c r="B182" s="52">
        <f>IF('Tabla de Amortización'!A182&lt;&gt;"",DATE(YEAR([0]!Primer_pago),MONTH([0]!Primer_pago)+('Tabla de Amortización'!A182-1)*12/Pagos_por_año,DAY([0]!Primer_pago)),"")</f>
        <v>43070</v>
      </c>
      <c r="C182" s="53">
        <f t="shared" si="16"/>
        <v>222209.98870300004</v>
      </c>
      <c r="D182" s="53">
        <f t="shared" si="12"/>
        <v>879.5812052827085</v>
      </c>
      <c r="E182" s="53">
        <f t="shared" si="13"/>
        <v>685.3608042266434</v>
      </c>
      <c r="F182" s="53">
        <f t="shared" si="14"/>
        <v>221524.62789877338</v>
      </c>
      <c r="G182" s="53">
        <f t="shared" si="17"/>
        <v>159395.81334419484</v>
      </c>
    </row>
    <row r="183" spans="1:7" ht="12.75">
      <c r="A183" s="51">
        <f t="shared" si="15"/>
        <v>153</v>
      </c>
      <c r="B183" s="52">
        <f>IF('Tabla de Amortización'!A183&lt;&gt;"",DATE(YEAR([0]!Primer_pago),MONTH([0]!Primer_pago)+('Tabla de Amortización'!A183-1)*12/Pagos_por_año,DAY([0]!Primer_pago)),"")</f>
        <v>43101</v>
      </c>
      <c r="C183" s="53">
        <f t="shared" si="16"/>
        <v>221524.62789877338</v>
      </c>
      <c r="D183" s="53">
        <f t="shared" si="12"/>
        <v>876.8683187659781</v>
      </c>
      <c r="E183" s="53">
        <f t="shared" si="13"/>
        <v>688.0736907433738</v>
      </c>
      <c r="F183" s="53">
        <f t="shared" si="14"/>
        <v>220836.55420803002</v>
      </c>
      <c r="G183" s="53">
        <f t="shared" si="17"/>
        <v>160272.68166296082</v>
      </c>
    </row>
    <row r="184" spans="1:7" ht="12.75">
      <c r="A184" s="51">
        <f t="shared" si="15"/>
        <v>154</v>
      </c>
      <c r="B184" s="52">
        <f>IF('Tabla de Amortización'!A184&lt;&gt;"",DATE(YEAR([0]!Primer_pago),MONTH([0]!Primer_pago)+('Tabla de Amortización'!A184-1)*12/Pagos_por_año,DAY([0]!Primer_pago)),"")</f>
        <v>43132</v>
      </c>
      <c r="C184" s="53">
        <f t="shared" si="16"/>
        <v>220836.55420803002</v>
      </c>
      <c r="D184" s="53">
        <f t="shared" si="12"/>
        <v>874.1446937401189</v>
      </c>
      <c r="E184" s="53">
        <f t="shared" si="13"/>
        <v>690.797315769233</v>
      </c>
      <c r="F184" s="53">
        <f t="shared" si="14"/>
        <v>220145.75689226078</v>
      </c>
      <c r="G184" s="53">
        <f t="shared" si="17"/>
        <v>161146.82635670094</v>
      </c>
    </row>
    <row r="185" spans="1:7" ht="12.75">
      <c r="A185" s="51">
        <f t="shared" si="15"/>
        <v>155</v>
      </c>
      <c r="B185" s="52">
        <f>IF('Tabla de Amortización'!A185&lt;&gt;"",DATE(YEAR([0]!Primer_pago),MONTH([0]!Primer_pago)+('Tabla de Amortización'!A185-1)*12/Pagos_por_año,DAY([0]!Primer_pago)),"")</f>
        <v>43160</v>
      </c>
      <c r="C185" s="53">
        <f t="shared" si="16"/>
        <v>220145.75689226078</v>
      </c>
      <c r="D185" s="53">
        <f t="shared" si="12"/>
        <v>871.4102876985323</v>
      </c>
      <c r="E185" s="53">
        <f t="shared" si="13"/>
        <v>693.5317218108196</v>
      </c>
      <c r="F185" s="53">
        <f t="shared" si="14"/>
        <v>219452.22517044996</v>
      </c>
      <c r="G185" s="53">
        <f t="shared" si="17"/>
        <v>162018.23664439947</v>
      </c>
    </row>
    <row r="186" spans="1:7" ht="12.75">
      <c r="A186" s="51">
        <f t="shared" si="15"/>
        <v>156</v>
      </c>
      <c r="B186" s="52">
        <f>IF('Tabla de Amortización'!A186&lt;&gt;"",DATE(YEAR([0]!Primer_pago),MONTH([0]!Primer_pago)+('Tabla de Amortización'!A186-1)*12/Pagos_por_año,DAY([0]!Primer_pago)),"")</f>
        <v>43191</v>
      </c>
      <c r="C186" s="53">
        <f t="shared" si="16"/>
        <v>219452.22517044996</v>
      </c>
      <c r="D186" s="53">
        <f t="shared" si="12"/>
        <v>868.6650579663645</v>
      </c>
      <c r="E186" s="53">
        <f t="shared" si="13"/>
        <v>696.2769515429874</v>
      </c>
      <c r="F186" s="53">
        <f t="shared" si="14"/>
        <v>218755.94821890697</v>
      </c>
      <c r="G186" s="53">
        <f t="shared" si="17"/>
        <v>162886.90170236584</v>
      </c>
    </row>
    <row r="187" spans="1:7" ht="12.75">
      <c r="A187" s="51">
        <f t="shared" si="15"/>
        <v>157</v>
      </c>
      <c r="B187" s="52">
        <f>IF('Tabla de Amortización'!A187&lt;&gt;"",DATE(YEAR([0]!Primer_pago),MONTH([0]!Primer_pago)+('Tabla de Amortización'!A187-1)*12/Pagos_por_año,DAY([0]!Primer_pago)),"")</f>
        <v>43221</v>
      </c>
      <c r="C187" s="53">
        <f t="shared" si="16"/>
        <v>218755.94821890697</v>
      </c>
      <c r="D187" s="53">
        <f t="shared" si="12"/>
        <v>865.9089616998401</v>
      </c>
      <c r="E187" s="53">
        <f t="shared" si="13"/>
        <v>699.0330478095118</v>
      </c>
      <c r="F187" s="53">
        <f t="shared" si="14"/>
        <v>218056.91517109747</v>
      </c>
      <c r="G187" s="53">
        <f t="shared" si="17"/>
        <v>163752.81066406568</v>
      </c>
    </row>
    <row r="188" spans="1:7" ht="12.75">
      <c r="A188" s="51">
        <f t="shared" si="15"/>
        <v>158</v>
      </c>
      <c r="B188" s="52">
        <f>IF('Tabla de Amortización'!A188&lt;&gt;"",DATE(YEAR([0]!Primer_pago),MONTH([0]!Primer_pago)+('Tabla de Amortización'!A188-1)*12/Pagos_por_año,DAY([0]!Primer_pago)),"")</f>
        <v>43252</v>
      </c>
      <c r="C188" s="53">
        <f t="shared" si="16"/>
        <v>218056.91517109747</v>
      </c>
      <c r="D188" s="53">
        <f t="shared" si="12"/>
        <v>863.1419558855943</v>
      </c>
      <c r="E188" s="53">
        <f t="shared" si="13"/>
        <v>701.8000536237577</v>
      </c>
      <c r="F188" s="53">
        <f t="shared" si="14"/>
        <v>217355.1151174737</v>
      </c>
      <c r="G188" s="53">
        <f t="shared" si="17"/>
        <v>164615.95261995128</v>
      </c>
    </row>
    <row r="189" spans="1:7" ht="12.75">
      <c r="A189" s="51">
        <f t="shared" si="15"/>
        <v>159</v>
      </c>
      <c r="B189" s="52">
        <f>IF('Tabla de Amortización'!A189&lt;&gt;"",DATE(YEAR([0]!Primer_pago),MONTH([0]!Primer_pago)+('Tabla de Amortización'!A189-1)*12/Pagos_por_año,DAY([0]!Primer_pago)),"")</f>
        <v>43282</v>
      </c>
      <c r="C189" s="53">
        <f t="shared" si="16"/>
        <v>217355.1151174737</v>
      </c>
      <c r="D189" s="53">
        <f t="shared" si="12"/>
        <v>860.3639973400002</v>
      </c>
      <c r="E189" s="53">
        <f t="shared" si="13"/>
        <v>704.5780121693517</v>
      </c>
      <c r="F189" s="53">
        <f t="shared" si="14"/>
        <v>216650.53710530436</v>
      </c>
      <c r="G189" s="53">
        <f t="shared" si="17"/>
        <v>165476.31661729128</v>
      </c>
    </row>
    <row r="190" spans="1:7" ht="12.75">
      <c r="A190" s="51">
        <f t="shared" si="15"/>
        <v>160</v>
      </c>
      <c r="B190" s="52">
        <f>IF('Tabla de Amortización'!A190&lt;&gt;"",DATE(YEAR([0]!Primer_pago),MONTH([0]!Primer_pago)+('Tabla de Amortización'!A190-1)*12/Pagos_por_año,DAY([0]!Primer_pago)),"")</f>
        <v>43313</v>
      </c>
      <c r="C190" s="53">
        <f t="shared" si="16"/>
        <v>216650.53710530436</v>
      </c>
      <c r="D190" s="53">
        <f t="shared" si="12"/>
        <v>857.5750427084965</v>
      </c>
      <c r="E190" s="53">
        <f t="shared" si="13"/>
        <v>707.3669668008554</v>
      </c>
      <c r="F190" s="53">
        <f t="shared" si="14"/>
        <v>215943.1701385035</v>
      </c>
      <c r="G190" s="53">
        <f t="shared" si="17"/>
        <v>166333.89165999976</v>
      </c>
    </row>
    <row r="191" spans="1:7" ht="12.75">
      <c r="A191" s="51">
        <f t="shared" si="15"/>
        <v>161</v>
      </c>
      <c r="B191" s="52">
        <f>IF('Tabla de Amortización'!A191&lt;&gt;"",DATE(YEAR([0]!Primer_pago),MONTH([0]!Primer_pago)+('Tabla de Amortización'!A191-1)*12/Pagos_por_año,DAY([0]!Primer_pago)),"")</f>
        <v>43344</v>
      </c>
      <c r="C191" s="53">
        <f t="shared" si="16"/>
        <v>215943.1701385035</v>
      </c>
      <c r="D191" s="53">
        <f t="shared" si="12"/>
        <v>854.7750484649098</v>
      </c>
      <c r="E191" s="53">
        <f t="shared" si="13"/>
        <v>710.1669610444421</v>
      </c>
      <c r="F191" s="53">
        <f t="shared" si="14"/>
        <v>215233.00317745906</v>
      </c>
      <c r="G191" s="53">
        <f t="shared" si="17"/>
        <v>167188.66670846468</v>
      </c>
    </row>
    <row r="192" spans="1:7" ht="12.75">
      <c r="A192" s="51">
        <f t="shared" si="15"/>
        <v>162</v>
      </c>
      <c r="B192" s="52">
        <f>IF('Tabla de Amortización'!A192&lt;&gt;"",DATE(YEAR([0]!Primer_pago),MONTH([0]!Primer_pago)+('Tabla de Amortización'!A192-1)*12/Pagos_por_año,DAY([0]!Primer_pago)),"")</f>
        <v>43374</v>
      </c>
      <c r="C192" s="53">
        <f t="shared" si="16"/>
        <v>215233.00317745906</v>
      </c>
      <c r="D192" s="53">
        <f t="shared" si="12"/>
        <v>851.9639709107755</v>
      </c>
      <c r="E192" s="53">
        <f t="shared" si="13"/>
        <v>712.9780385985764</v>
      </c>
      <c r="F192" s="53">
        <f t="shared" si="14"/>
        <v>214520.02513886048</v>
      </c>
      <c r="G192" s="53">
        <f t="shared" si="17"/>
        <v>168040.63067937546</v>
      </c>
    </row>
    <row r="193" spans="1:7" ht="12.75">
      <c r="A193" s="51">
        <f t="shared" si="15"/>
        <v>163</v>
      </c>
      <c r="B193" s="52">
        <f>IF('Tabla de Amortización'!A193&lt;&gt;"",DATE(YEAR([0]!Primer_pago),MONTH([0]!Primer_pago)+('Tabla de Amortización'!A193-1)*12/Pagos_por_año,DAY([0]!Primer_pago)),"")</f>
        <v>43405</v>
      </c>
      <c r="C193" s="53">
        <f t="shared" si="16"/>
        <v>214520.02513886048</v>
      </c>
      <c r="D193" s="53">
        <f t="shared" si="12"/>
        <v>849.1417661746561</v>
      </c>
      <c r="E193" s="53">
        <f t="shared" si="13"/>
        <v>715.8002433346958</v>
      </c>
      <c r="F193" s="53">
        <f t="shared" si="14"/>
        <v>213804.22489552578</v>
      </c>
      <c r="G193" s="53">
        <f t="shared" si="17"/>
        <v>168889.77244555013</v>
      </c>
    </row>
    <row r="194" spans="1:7" ht="12.75">
      <c r="A194" s="51">
        <f t="shared" si="15"/>
        <v>164</v>
      </c>
      <c r="B194" s="52">
        <f>IF('Tabla de Amortización'!A194&lt;&gt;"",DATE(YEAR([0]!Primer_pago),MONTH([0]!Primer_pago)+('Tabla de Amortización'!A194-1)*12/Pagos_por_año,DAY([0]!Primer_pago)),"")</f>
        <v>43435</v>
      </c>
      <c r="C194" s="53">
        <f t="shared" si="16"/>
        <v>213804.22489552578</v>
      </c>
      <c r="D194" s="53">
        <f t="shared" si="12"/>
        <v>846.3083902114563</v>
      </c>
      <c r="E194" s="53">
        <f t="shared" si="13"/>
        <v>718.6336192978956</v>
      </c>
      <c r="F194" s="53">
        <f t="shared" si="14"/>
        <v>213085.59127622787</v>
      </c>
      <c r="G194" s="53">
        <f t="shared" si="17"/>
        <v>169736.0808357616</v>
      </c>
    </row>
    <row r="195" spans="1:7" ht="12.75">
      <c r="A195" s="51">
        <f t="shared" si="15"/>
        <v>165</v>
      </c>
      <c r="B195" s="52">
        <f>IF('Tabla de Amortización'!A195&lt;&gt;"",DATE(YEAR([0]!Primer_pago),MONTH([0]!Primer_pago)+('Tabla de Amortización'!A195-1)*12/Pagos_por_año,DAY([0]!Primer_pago)),"")</f>
        <v>43466</v>
      </c>
      <c r="C195" s="53">
        <f t="shared" si="16"/>
        <v>213085.59127622787</v>
      </c>
      <c r="D195" s="53">
        <f t="shared" si="12"/>
        <v>843.4637988017354</v>
      </c>
      <c r="E195" s="53">
        <f t="shared" si="13"/>
        <v>721.4782107076165</v>
      </c>
      <c r="F195" s="53">
        <f t="shared" si="14"/>
        <v>212364.11306552027</v>
      </c>
      <c r="G195" s="53">
        <f t="shared" si="17"/>
        <v>170579.54463456332</v>
      </c>
    </row>
    <row r="196" spans="1:7" ht="12.75">
      <c r="A196" s="51">
        <f t="shared" si="15"/>
        <v>166</v>
      </c>
      <c r="B196" s="52">
        <f>IF('Tabla de Amortización'!A196&lt;&gt;"",DATE(YEAR([0]!Primer_pago),MONTH([0]!Primer_pago)+('Tabla de Amortización'!A196-1)*12/Pagos_por_año,DAY([0]!Primer_pago)),"")</f>
        <v>43497</v>
      </c>
      <c r="C196" s="53">
        <f t="shared" si="16"/>
        <v>212364.11306552027</v>
      </c>
      <c r="D196" s="53">
        <f t="shared" si="12"/>
        <v>840.6079475510178</v>
      </c>
      <c r="E196" s="53">
        <f t="shared" si="13"/>
        <v>724.3340619583341</v>
      </c>
      <c r="F196" s="53">
        <f t="shared" si="14"/>
        <v>211639.77900356194</v>
      </c>
      <c r="G196" s="53">
        <f t="shared" si="17"/>
        <v>171420.15258211433</v>
      </c>
    </row>
    <row r="197" spans="1:7" ht="12.75">
      <c r="A197" s="51">
        <f t="shared" si="15"/>
        <v>167</v>
      </c>
      <c r="B197" s="52">
        <f>IF('Tabla de Amortización'!A197&lt;&gt;"",DATE(YEAR([0]!Primer_pago),MONTH([0]!Primer_pago)+('Tabla de Amortización'!A197-1)*12/Pagos_por_año,DAY([0]!Primer_pago)),"")</f>
        <v>43525</v>
      </c>
      <c r="C197" s="53">
        <f t="shared" si="16"/>
        <v>211639.77900356194</v>
      </c>
      <c r="D197" s="53">
        <f t="shared" si="12"/>
        <v>837.7407918890995</v>
      </c>
      <c r="E197" s="53">
        <f t="shared" si="13"/>
        <v>727.2012176202525</v>
      </c>
      <c r="F197" s="53">
        <f t="shared" si="14"/>
        <v>210912.57778594168</v>
      </c>
      <c r="G197" s="53">
        <f t="shared" si="17"/>
        <v>172257.89337400344</v>
      </c>
    </row>
    <row r="198" spans="1:7" ht="12.75">
      <c r="A198" s="51">
        <f t="shared" si="15"/>
        <v>168</v>
      </c>
      <c r="B198" s="52">
        <f>IF('Tabla de Amortización'!A198&lt;&gt;"",DATE(YEAR([0]!Primer_pago),MONTH([0]!Primer_pago)+('Tabla de Amortización'!A198-1)*12/Pagos_por_año,DAY([0]!Primer_pago)),"")</f>
        <v>43556</v>
      </c>
      <c r="C198" s="53">
        <f t="shared" si="16"/>
        <v>210912.57778594168</v>
      </c>
      <c r="D198" s="53">
        <f t="shared" si="12"/>
        <v>834.8622870693525</v>
      </c>
      <c r="E198" s="53">
        <f t="shared" si="13"/>
        <v>730.0797224399994</v>
      </c>
      <c r="F198" s="53">
        <f t="shared" si="14"/>
        <v>210182.4980635017</v>
      </c>
      <c r="G198" s="53">
        <f t="shared" si="17"/>
        <v>173092.7556610728</v>
      </c>
    </row>
    <row r="199" spans="1:7" ht="12.75">
      <c r="A199" s="51">
        <f t="shared" si="15"/>
        <v>169</v>
      </c>
      <c r="B199" s="52">
        <f>IF('Tabla de Amortización'!A199&lt;&gt;"",DATE(YEAR([0]!Primer_pago),MONTH([0]!Primer_pago)+('Tabla de Amortización'!A199-1)*12/Pagos_por_año,DAY([0]!Primer_pago)),"")</f>
        <v>43586</v>
      </c>
      <c r="C199" s="53">
        <f t="shared" si="16"/>
        <v>210182.4980635017</v>
      </c>
      <c r="D199" s="53">
        <f t="shared" si="12"/>
        <v>831.9723881680276</v>
      </c>
      <c r="E199" s="53">
        <f t="shared" si="13"/>
        <v>732.9696213413243</v>
      </c>
      <c r="F199" s="53">
        <f t="shared" si="14"/>
        <v>209449.52844216037</v>
      </c>
      <c r="G199" s="53">
        <f t="shared" si="17"/>
        <v>173924.72804924083</v>
      </c>
    </row>
    <row r="200" spans="1:7" ht="12.75">
      <c r="A200" s="51">
        <f t="shared" si="15"/>
        <v>170</v>
      </c>
      <c r="B200" s="52">
        <f>IF('Tabla de Amortización'!A200&lt;&gt;"",DATE(YEAR([0]!Primer_pago),MONTH([0]!Primer_pago)+('Tabla de Amortización'!A200-1)*12/Pagos_por_año,DAY([0]!Primer_pago)),"")</f>
        <v>43617</v>
      </c>
      <c r="C200" s="53">
        <f t="shared" si="16"/>
        <v>209449.52844216037</v>
      </c>
      <c r="D200" s="53">
        <f t="shared" si="12"/>
        <v>829.0710500835515</v>
      </c>
      <c r="E200" s="53">
        <f t="shared" si="13"/>
        <v>735.8709594258004</v>
      </c>
      <c r="F200" s="53">
        <f t="shared" si="14"/>
        <v>208713.65748273456</v>
      </c>
      <c r="G200" s="53">
        <f t="shared" si="17"/>
        <v>174753.7990993244</v>
      </c>
    </row>
    <row r="201" spans="1:7" ht="12.75">
      <c r="A201" s="51">
        <f t="shared" si="15"/>
        <v>171</v>
      </c>
      <c r="B201" s="52">
        <f>IF('Tabla de Amortización'!A201&lt;&gt;"",DATE(YEAR([0]!Primer_pago),MONTH([0]!Primer_pago)+('Tabla de Amortización'!A201-1)*12/Pagos_por_año,DAY([0]!Primer_pago)),"")</f>
        <v>43647</v>
      </c>
      <c r="C201" s="53">
        <f t="shared" si="16"/>
        <v>208713.65748273456</v>
      </c>
      <c r="D201" s="53">
        <f t="shared" si="12"/>
        <v>826.1582275358244</v>
      </c>
      <c r="E201" s="53">
        <f t="shared" si="13"/>
        <v>738.7837819735275</v>
      </c>
      <c r="F201" s="53">
        <f t="shared" si="14"/>
        <v>207974.87370076103</v>
      </c>
      <c r="G201" s="53">
        <f t="shared" si="17"/>
        <v>175579.95732686023</v>
      </c>
    </row>
    <row r="202" spans="1:7" ht="12.75">
      <c r="A202" s="51">
        <f t="shared" si="15"/>
        <v>172</v>
      </c>
      <c r="B202" s="52">
        <f>IF('Tabla de Amortización'!A202&lt;&gt;"",DATE(YEAR([0]!Primer_pago),MONTH([0]!Primer_pago)+('Tabla de Amortización'!A202-1)*12/Pagos_por_año,DAY([0]!Primer_pago)),"")</f>
        <v>43678</v>
      </c>
      <c r="C202" s="53">
        <f t="shared" si="16"/>
        <v>207974.87370076103</v>
      </c>
      <c r="D202" s="53">
        <f t="shared" si="12"/>
        <v>823.2338750655125</v>
      </c>
      <c r="E202" s="53">
        <f t="shared" si="13"/>
        <v>741.7081344438394</v>
      </c>
      <c r="F202" s="53">
        <f t="shared" si="14"/>
        <v>207233.16556631718</v>
      </c>
      <c r="G202" s="53">
        <f t="shared" si="17"/>
        <v>176403.19120192574</v>
      </c>
    </row>
    <row r="203" spans="1:7" ht="12.75">
      <c r="A203" s="51">
        <f t="shared" si="15"/>
        <v>173</v>
      </c>
      <c r="B203" s="52">
        <f>IF('Tabla de Amortización'!A203&lt;&gt;"",DATE(YEAR([0]!Primer_pago),MONTH([0]!Primer_pago)+('Tabla de Amortización'!A203-1)*12/Pagos_por_año,DAY([0]!Primer_pago)),"")</f>
        <v>43709</v>
      </c>
      <c r="C203" s="53">
        <f t="shared" si="16"/>
        <v>207233.16556631718</v>
      </c>
      <c r="D203" s="53">
        <f t="shared" si="12"/>
        <v>820.2979470333389</v>
      </c>
      <c r="E203" s="53">
        <f t="shared" si="13"/>
        <v>744.644062476013</v>
      </c>
      <c r="F203" s="53">
        <f t="shared" si="14"/>
        <v>206488.52150384118</v>
      </c>
      <c r="G203" s="53">
        <f t="shared" si="17"/>
        <v>177223.48914895908</v>
      </c>
    </row>
    <row r="204" spans="1:7" ht="12.75">
      <c r="A204" s="51">
        <f t="shared" si="15"/>
        <v>174</v>
      </c>
      <c r="B204" s="52">
        <f>IF('Tabla de Amortización'!A204&lt;&gt;"",DATE(YEAR([0]!Primer_pago),MONTH([0]!Primer_pago)+('Tabla de Amortización'!A204-1)*12/Pagos_por_año,DAY([0]!Primer_pago)),"")</f>
        <v>43739</v>
      </c>
      <c r="C204" s="53">
        <f t="shared" si="16"/>
        <v>206488.52150384118</v>
      </c>
      <c r="D204" s="53">
        <f t="shared" si="12"/>
        <v>817.3503976193714</v>
      </c>
      <c r="E204" s="53">
        <f t="shared" si="13"/>
        <v>747.5916118899805</v>
      </c>
      <c r="F204" s="53">
        <f t="shared" si="14"/>
        <v>205740.9298919512</v>
      </c>
      <c r="G204" s="53">
        <f t="shared" si="17"/>
        <v>178040.83954657844</v>
      </c>
    </row>
    <row r="205" spans="1:7" ht="12.75">
      <c r="A205" s="51">
        <f t="shared" si="15"/>
        <v>175</v>
      </c>
      <c r="B205" s="52">
        <f>IF('Tabla de Amortización'!A205&lt;&gt;"",DATE(YEAR([0]!Primer_pago),MONTH([0]!Primer_pago)+('Tabla de Amortización'!A205-1)*12/Pagos_por_año,DAY([0]!Primer_pago)),"")</f>
        <v>43770</v>
      </c>
      <c r="C205" s="53">
        <f t="shared" si="16"/>
        <v>205740.9298919512</v>
      </c>
      <c r="D205" s="53">
        <f t="shared" si="12"/>
        <v>814.391180822307</v>
      </c>
      <c r="E205" s="53">
        <f t="shared" si="13"/>
        <v>750.5508286870449</v>
      </c>
      <c r="F205" s="53">
        <f t="shared" si="14"/>
        <v>204990.37906326418</v>
      </c>
      <c r="G205" s="53">
        <f t="shared" si="17"/>
        <v>178855.23072740075</v>
      </c>
    </row>
    <row r="206" spans="1:7" ht="12.75">
      <c r="A206" s="51">
        <f t="shared" si="15"/>
        <v>176</v>
      </c>
      <c r="B206" s="52">
        <f>IF('Tabla de Amortización'!A206&lt;&gt;"",DATE(YEAR([0]!Primer_pago),MONTH([0]!Primer_pago)+('Tabla de Amortización'!A206-1)*12/Pagos_por_año,DAY([0]!Primer_pago)),"")</f>
        <v>43800</v>
      </c>
      <c r="C206" s="53">
        <f t="shared" si="16"/>
        <v>204990.37906326418</v>
      </c>
      <c r="D206" s="53">
        <f t="shared" si="12"/>
        <v>811.4202504587541</v>
      </c>
      <c r="E206" s="53">
        <f t="shared" si="13"/>
        <v>753.5217590505978</v>
      </c>
      <c r="F206" s="53">
        <f t="shared" si="14"/>
        <v>204236.85730421357</v>
      </c>
      <c r="G206" s="53">
        <f t="shared" si="17"/>
        <v>179666.6509778595</v>
      </c>
    </row>
    <row r="207" spans="1:7" ht="12.75">
      <c r="A207" s="51">
        <f t="shared" si="15"/>
        <v>177</v>
      </c>
      <c r="B207" s="52">
        <f>IF('Tabla de Amortización'!A207&lt;&gt;"",DATE(YEAR([0]!Primer_pago),MONTH([0]!Primer_pago)+('Tabla de Amortización'!A207-1)*12/Pagos_por_año,DAY([0]!Primer_pago)),"")</f>
        <v>43831</v>
      </c>
      <c r="C207" s="53">
        <f t="shared" si="16"/>
        <v>204236.85730421357</v>
      </c>
      <c r="D207" s="53">
        <f t="shared" si="12"/>
        <v>808.4375601625121</v>
      </c>
      <c r="E207" s="53">
        <f t="shared" si="13"/>
        <v>756.5044493468398</v>
      </c>
      <c r="F207" s="53">
        <f t="shared" si="14"/>
        <v>203480.35285486674</v>
      </c>
      <c r="G207" s="53">
        <f t="shared" si="17"/>
        <v>180475.088538022</v>
      </c>
    </row>
    <row r="208" spans="1:7" ht="12.75">
      <c r="A208" s="51">
        <f t="shared" si="15"/>
        <v>178</v>
      </c>
      <c r="B208" s="52">
        <f>IF('Tabla de Amortización'!A208&lt;&gt;"",DATE(YEAR([0]!Primer_pago),MONTH([0]!Primer_pago)+('Tabla de Amortización'!A208-1)*12/Pagos_por_año,DAY([0]!Primer_pago)),"")</f>
        <v>43862</v>
      </c>
      <c r="C208" s="53">
        <f t="shared" si="16"/>
        <v>203480.35285486674</v>
      </c>
      <c r="D208" s="53">
        <f t="shared" si="12"/>
        <v>805.4430633838476</v>
      </c>
      <c r="E208" s="53">
        <f t="shared" si="13"/>
        <v>759.4989461255043</v>
      </c>
      <c r="F208" s="53">
        <f t="shared" si="14"/>
        <v>202720.85390874124</v>
      </c>
      <c r="G208" s="53">
        <f t="shared" si="17"/>
        <v>181280.53160140585</v>
      </c>
    </row>
    <row r="209" spans="1:7" ht="12.75">
      <c r="A209" s="51">
        <f t="shared" si="15"/>
        <v>179</v>
      </c>
      <c r="B209" s="52">
        <f>IF('Tabla de Amortización'!A209&lt;&gt;"",DATE(YEAR([0]!Primer_pago),MONTH([0]!Primer_pago)+('Tabla de Amortización'!A209-1)*12/Pagos_por_año,DAY([0]!Primer_pago)),"")</f>
        <v>43891</v>
      </c>
      <c r="C209" s="53">
        <f t="shared" si="16"/>
        <v>202720.85390874124</v>
      </c>
      <c r="D209" s="53">
        <f t="shared" si="12"/>
        <v>802.4367133887674</v>
      </c>
      <c r="E209" s="53">
        <f t="shared" si="13"/>
        <v>762.5052961205845</v>
      </c>
      <c r="F209" s="53">
        <f t="shared" si="14"/>
        <v>201958.34861262064</v>
      </c>
      <c r="G209" s="53">
        <f t="shared" si="17"/>
        <v>182082.96831479462</v>
      </c>
    </row>
    <row r="210" spans="1:7" ht="12.75">
      <c r="A210" s="51">
        <f t="shared" si="15"/>
        <v>180</v>
      </c>
      <c r="B210" s="52">
        <f>IF('Tabla de Amortización'!A210&lt;&gt;"",DATE(YEAR([0]!Primer_pago),MONTH([0]!Primer_pago)+('Tabla de Amortización'!A210-1)*12/Pagos_por_año,DAY([0]!Primer_pago)),"")</f>
        <v>43922</v>
      </c>
      <c r="C210" s="53">
        <f t="shared" si="16"/>
        <v>201958.34861262064</v>
      </c>
      <c r="D210" s="53">
        <f t="shared" si="12"/>
        <v>799.4184632582901</v>
      </c>
      <c r="E210" s="53">
        <f t="shared" si="13"/>
        <v>765.5235462510618</v>
      </c>
      <c r="F210" s="53">
        <f t="shared" si="14"/>
        <v>201192.82506636958</v>
      </c>
      <c r="G210" s="53">
        <f t="shared" si="17"/>
        <v>182882.3867780529</v>
      </c>
    </row>
    <row r="211" spans="1:7" ht="12.75">
      <c r="A211" s="51">
        <f t="shared" si="15"/>
        <v>181</v>
      </c>
      <c r="B211" s="52">
        <f>IF('Tabla de Amortización'!A211&lt;&gt;"",DATE(YEAR([0]!Primer_pago),MONTH([0]!Primer_pago)+('Tabla de Amortización'!A211-1)*12/Pagos_por_año,DAY([0]!Primer_pago)),"")</f>
        <v>43952</v>
      </c>
      <c r="C211" s="53">
        <f t="shared" si="16"/>
        <v>201192.82506636958</v>
      </c>
      <c r="D211" s="53">
        <f t="shared" si="12"/>
        <v>796.388265887713</v>
      </c>
      <c r="E211" s="53">
        <f t="shared" si="13"/>
        <v>768.5537436216389</v>
      </c>
      <c r="F211" s="53">
        <f t="shared" si="14"/>
        <v>200424.27132274795</v>
      </c>
      <c r="G211" s="53">
        <f t="shared" si="17"/>
        <v>183678.7750439406</v>
      </c>
    </row>
    <row r="212" spans="1:7" ht="12.75">
      <c r="A212" s="51">
        <f t="shared" si="15"/>
        <v>182</v>
      </c>
      <c r="B212" s="52">
        <f>IF('Tabla de Amortización'!A212&lt;&gt;"",DATE(YEAR([0]!Primer_pago),MONTH([0]!Primer_pago)+('Tabla de Amortización'!A212-1)*12/Pagos_por_año,DAY([0]!Primer_pago)),"")</f>
        <v>43983</v>
      </c>
      <c r="C212" s="53">
        <f t="shared" si="16"/>
        <v>200424.27132274795</v>
      </c>
      <c r="D212" s="53">
        <f t="shared" si="12"/>
        <v>793.3460739858774</v>
      </c>
      <c r="E212" s="53">
        <f t="shared" si="13"/>
        <v>771.5959355234745</v>
      </c>
      <c r="F212" s="53">
        <f t="shared" si="14"/>
        <v>199652.67538722447</v>
      </c>
      <c r="G212" s="53">
        <f t="shared" si="17"/>
        <v>184472.1211179265</v>
      </c>
    </row>
    <row r="213" spans="1:7" ht="12.75">
      <c r="A213" s="51">
        <f t="shared" si="15"/>
        <v>183</v>
      </c>
      <c r="B213" s="52">
        <f>IF('Tabla de Amortización'!A213&lt;&gt;"",DATE(YEAR([0]!Primer_pago),MONTH([0]!Primer_pago)+('Tabla de Amortización'!A213-1)*12/Pagos_por_año,DAY([0]!Primer_pago)),"")</f>
        <v>44013</v>
      </c>
      <c r="C213" s="53">
        <f t="shared" si="16"/>
        <v>199652.67538722447</v>
      </c>
      <c r="D213" s="53">
        <f t="shared" si="12"/>
        <v>790.2918400744303</v>
      </c>
      <c r="E213" s="53">
        <f t="shared" si="13"/>
        <v>774.6501694349216</v>
      </c>
      <c r="F213" s="53">
        <f t="shared" si="14"/>
        <v>198878.02521778955</v>
      </c>
      <c r="G213" s="53">
        <f t="shared" si="17"/>
        <v>185262.41295800093</v>
      </c>
    </row>
    <row r="214" spans="1:7" ht="12.75">
      <c r="A214" s="51">
        <f t="shared" si="15"/>
        <v>184</v>
      </c>
      <c r="B214" s="52">
        <f>IF('Tabla de Amortización'!A214&lt;&gt;"",DATE(YEAR([0]!Primer_pago),MONTH([0]!Primer_pago)+('Tabla de Amortización'!A214-1)*12/Pagos_por_año,DAY([0]!Primer_pago)),"")</f>
        <v>44044</v>
      </c>
      <c r="C214" s="53">
        <f t="shared" si="16"/>
        <v>198878.02521778955</v>
      </c>
      <c r="D214" s="53">
        <f t="shared" si="12"/>
        <v>787.2255164870837</v>
      </c>
      <c r="E214" s="53">
        <f t="shared" si="13"/>
        <v>777.7164930222682</v>
      </c>
      <c r="F214" s="53">
        <f t="shared" si="14"/>
        <v>198100.30872476727</v>
      </c>
      <c r="G214" s="53">
        <f t="shared" si="17"/>
        <v>186049.63847448802</v>
      </c>
    </row>
    <row r="215" spans="1:7" ht="12.75">
      <c r="A215" s="51">
        <f t="shared" si="15"/>
        <v>185</v>
      </c>
      <c r="B215" s="52">
        <f>IF('Tabla de Amortización'!A215&lt;&gt;"",DATE(YEAR([0]!Primer_pago),MONTH([0]!Primer_pago)+('Tabla de Amortización'!A215-1)*12/Pagos_por_año,DAY([0]!Primer_pago)),"")</f>
        <v>44075</v>
      </c>
      <c r="C215" s="53">
        <f t="shared" si="16"/>
        <v>198100.30872476727</v>
      </c>
      <c r="D215" s="53">
        <f t="shared" si="12"/>
        <v>784.1470553688705</v>
      </c>
      <c r="E215" s="53">
        <f t="shared" si="13"/>
        <v>780.7949541404814</v>
      </c>
      <c r="F215" s="53">
        <f t="shared" si="14"/>
        <v>197319.5137706268</v>
      </c>
      <c r="G215" s="53">
        <f t="shared" si="17"/>
        <v>186833.7855298569</v>
      </c>
    </row>
    <row r="216" spans="1:7" ht="12.75">
      <c r="A216" s="51">
        <f t="shared" si="15"/>
        <v>186</v>
      </c>
      <c r="B216" s="52">
        <f>IF('Tabla de Amortización'!A216&lt;&gt;"",DATE(YEAR([0]!Primer_pago),MONTH([0]!Primer_pago)+('Tabla de Amortización'!A216-1)*12/Pagos_por_año,DAY([0]!Primer_pago)),"")</f>
        <v>44105</v>
      </c>
      <c r="C216" s="53">
        <f t="shared" si="16"/>
        <v>197319.5137706268</v>
      </c>
      <c r="D216" s="53">
        <f t="shared" si="12"/>
        <v>781.0564086753978</v>
      </c>
      <c r="E216" s="53">
        <f t="shared" si="13"/>
        <v>783.8856008339541</v>
      </c>
      <c r="F216" s="53">
        <f t="shared" si="14"/>
        <v>196535.62816979285</v>
      </c>
      <c r="G216" s="53">
        <f t="shared" si="17"/>
        <v>187614.84193853228</v>
      </c>
    </row>
    <row r="217" spans="1:7" ht="12.75">
      <c r="A217" s="51">
        <f t="shared" si="15"/>
        <v>187</v>
      </c>
      <c r="B217" s="52">
        <f>IF('Tabla de Amortización'!A217&lt;&gt;"",DATE(YEAR([0]!Primer_pago),MONTH([0]!Primer_pago)+('Tabla de Amortización'!A217-1)*12/Pagos_por_año,DAY([0]!Primer_pago)),"")</f>
        <v>44136</v>
      </c>
      <c r="C217" s="53">
        <f t="shared" si="16"/>
        <v>196535.62816979285</v>
      </c>
      <c r="D217" s="53">
        <f t="shared" si="12"/>
        <v>777.9535281720968</v>
      </c>
      <c r="E217" s="53">
        <f t="shared" si="13"/>
        <v>786.9884813372552</v>
      </c>
      <c r="F217" s="53">
        <f t="shared" si="14"/>
        <v>195748.6396884556</v>
      </c>
      <c r="G217" s="53">
        <f t="shared" si="17"/>
        <v>188392.79546670438</v>
      </c>
    </row>
    <row r="218" spans="1:7" ht="12.75">
      <c r="A218" s="51">
        <f t="shared" si="15"/>
        <v>188</v>
      </c>
      <c r="B218" s="52">
        <f>IF('Tabla de Amortización'!A218&lt;&gt;"",DATE(YEAR([0]!Primer_pago),MONTH([0]!Primer_pago)+('Tabla de Amortización'!A218-1)*12/Pagos_por_año,DAY([0]!Primer_pago)),"")</f>
        <v>44166</v>
      </c>
      <c r="C218" s="53">
        <f t="shared" si="16"/>
        <v>195748.6396884556</v>
      </c>
      <c r="D218" s="53">
        <f t="shared" si="12"/>
        <v>774.8383654334701</v>
      </c>
      <c r="E218" s="53">
        <f t="shared" si="13"/>
        <v>790.1036440758818</v>
      </c>
      <c r="F218" s="53">
        <f t="shared" si="14"/>
        <v>194958.5360443797</v>
      </c>
      <c r="G218" s="53">
        <f t="shared" si="17"/>
        <v>189167.63383213786</v>
      </c>
    </row>
    <row r="219" spans="1:7" ht="12.75">
      <c r="A219" s="51">
        <f t="shared" si="15"/>
        <v>189</v>
      </c>
      <c r="B219" s="52">
        <f>IF('Tabla de Amortización'!A219&lt;&gt;"",DATE(YEAR([0]!Primer_pago),MONTH([0]!Primer_pago)+('Tabla de Amortización'!A219-1)*12/Pagos_por_año,DAY([0]!Primer_pago)),"")</f>
        <v>44197</v>
      </c>
      <c r="C219" s="53">
        <f t="shared" si="16"/>
        <v>194958.5360443797</v>
      </c>
      <c r="D219" s="53">
        <f t="shared" si="12"/>
        <v>771.7108718423364</v>
      </c>
      <c r="E219" s="53">
        <f t="shared" si="13"/>
        <v>793.2311376670156</v>
      </c>
      <c r="F219" s="53">
        <f t="shared" si="14"/>
        <v>194165.30490671267</v>
      </c>
      <c r="G219" s="53">
        <f t="shared" si="17"/>
        <v>189939.3447039802</v>
      </c>
    </row>
    <row r="220" spans="1:7" ht="12.75">
      <c r="A220" s="51">
        <f t="shared" si="15"/>
        <v>190</v>
      </c>
      <c r="B220" s="52">
        <f>IF('Tabla de Amortización'!A220&lt;&gt;"",DATE(YEAR([0]!Primer_pago),MONTH([0]!Primer_pago)+('Tabla de Amortización'!A220-1)*12/Pagos_por_año,DAY([0]!Primer_pago)),"")</f>
        <v>44228</v>
      </c>
      <c r="C220" s="53">
        <f t="shared" si="16"/>
        <v>194165.30490671267</v>
      </c>
      <c r="D220" s="53">
        <f t="shared" si="12"/>
        <v>768.570998589071</v>
      </c>
      <c r="E220" s="53">
        <f t="shared" si="13"/>
        <v>796.3710109202809</v>
      </c>
      <c r="F220" s="53">
        <f t="shared" si="14"/>
        <v>193368.93389579238</v>
      </c>
      <c r="G220" s="53">
        <f t="shared" si="17"/>
        <v>190707.91570256927</v>
      </c>
    </row>
    <row r="221" spans="1:7" ht="12.75">
      <c r="A221" s="51">
        <f t="shared" si="15"/>
        <v>191</v>
      </c>
      <c r="B221" s="52">
        <f>IF('Tabla de Amortización'!A221&lt;&gt;"",DATE(YEAR([0]!Primer_pago),MONTH([0]!Primer_pago)+('Tabla de Amortización'!A221-1)*12/Pagos_por_año,DAY([0]!Primer_pago)),"")</f>
        <v>44256</v>
      </c>
      <c r="C221" s="53">
        <f t="shared" si="16"/>
        <v>193368.93389579238</v>
      </c>
      <c r="D221" s="53">
        <f t="shared" si="12"/>
        <v>765.4186966708448</v>
      </c>
      <c r="E221" s="53">
        <f t="shared" si="13"/>
        <v>799.5233128385071</v>
      </c>
      <c r="F221" s="53">
        <f t="shared" si="14"/>
        <v>192569.41058295386</v>
      </c>
      <c r="G221" s="53">
        <f t="shared" si="17"/>
        <v>191473.33439924012</v>
      </c>
    </row>
    <row r="222" spans="1:7" ht="12.75">
      <c r="A222" s="51">
        <f t="shared" si="15"/>
        <v>192</v>
      </c>
      <c r="B222" s="52">
        <f>IF('Tabla de Amortización'!A222&lt;&gt;"",DATE(YEAR([0]!Primer_pago),MONTH([0]!Primer_pago)+('Tabla de Amortización'!A222-1)*12/Pagos_por_año,DAY([0]!Primer_pago)),"")</f>
        <v>44287</v>
      </c>
      <c r="C222" s="53">
        <f t="shared" si="16"/>
        <v>192569.41058295386</v>
      </c>
      <c r="D222" s="53">
        <f t="shared" si="12"/>
        <v>762.253916890859</v>
      </c>
      <c r="E222" s="53">
        <f t="shared" si="13"/>
        <v>802.6880926184929</v>
      </c>
      <c r="F222" s="53">
        <f t="shared" si="14"/>
        <v>191766.72249033538</v>
      </c>
      <c r="G222" s="53">
        <f t="shared" si="17"/>
        <v>192235.58831613098</v>
      </c>
    </row>
    <row r="223" spans="1:7" ht="12.75">
      <c r="A223" s="51">
        <f t="shared" si="15"/>
        <v>193</v>
      </c>
      <c r="B223" s="52">
        <f>IF('Tabla de Amortización'!A223&lt;&gt;"",DATE(YEAR([0]!Primer_pago),MONTH([0]!Primer_pago)+('Tabla de Amortización'!A223-1)*12/Pagos_por_año,DAY([0]!Primer_pago)),"")</f>
        <v>44317</v>
      </c>
      <c r="C223" s="53">
        <f t="shared" si="16"/>
        <v>191766.72249033538</v>
      </c>
      <c r="D223" s="53">
        <f aca="true" t="shared" si="18" ref="D223:D286">Interés</f>
        <v>759.0766098575776</v>
      </c>
      <c r="E223" s="53">
        <f aca="true" t="shared" si="19" ref="E223:E286">Capital</f>
        <v>805.8653996517743</v>
      </c>
      <c r="F223" s="53">
        <f aca="true" t="shared" si="20" ref="F223:F286">Saldo.Final</f>
        <v>190960.8570906836</v>
      </c>
      <c r="G223" s="53">
        <f t="shared" si="17"/>
        <v>192994.66492598856</v>
      </c>
    </row>
    <row r="224" spans="1:7" ht="12.75">
      <c r="A224" s="51">
        <f aca="true" t="shared" si="21" ref="A224:A287">IF(OR(A223="",A223=Total_Pagos),"",A223+1)</f>
        <v>194</v>
      </c>
      <c r="B224" s="52">
        <f>IF('Tabla de Amortización'!A224&lt;&gt;"",DATE(YEAR([0]!Primer_pago),MONTH([0]!Primer_pago)+('Tabla de Amortización'!A224-1)*12/Pagos_por_año,DAY([0]!Primer_pago)),"")</f>
        <v>44348</v>
      </c>
      <c r="C224" s="53">
        <f aca="true" t="shared" si="22" ref="C224:C287">Saldo.Inicial</f>
        <v>190960.8570906836</v>
      </c>
      <c r="D224" s="53">
        <f t="shared" si="18"/>
        <v>755.886725983956</v>
      </c>
      <c r="E224" s="53">
        <f t="shared" si="19"/>
        <v>809.0552835253959</v>
      </c>
      <c r="F224" s="53">
        <f t="shared" si="20"/>
        <v>190151.8018071582</v>
      </c>
      <c r="G224" s="53">
        <f aca="true" t="shared" si="23" ref="G224:G287">Interés.Acum</f>
        <v>193750.55165197252</v>
      </c>
    </row>
    <row r="225" spans="1:7" ht="12.75">
      <c r="A225" s="51">
        <f t="shared" si="21"/>
        <v>195</v>
      </c>
      <c r="B225" s="52">
        <f>IF('Tabla de Amortización'!A225&lt;&gt;"",DATE(YEAR([0]!Primer_pago),MONTH([0]!Primer_pago)+('Tabla de Amortización'!A225-1)*12/Pagos_por_año,DAY([0]!Primer_pago)),"")</f>
        <v>44378</v>
      </c>
      <c r="C225" s="53">
        <f t="shared" si="22"/>
        <v>190151.8018071582</v>
      </c>
      <c r="D225" s="53">
        <f t="shared" si="18"/>
        <v>752.6842154866679</v>
      </c>
      <c r="E225" s="53">
        <f t="shared" si="19"/>
        <v>812.257794022684</v>
      </c>
      <c r="F225" s="53">
        <f t="shared" si="20"/>
        <v>189339.5440131355</v>
      </c>
      <c r="G225" s="53">
        <f t="shared" si="23"/>
        <v>194503.23586745918</v>
      </c>
    </row>
    <row r="226" spans="1:7" ht="12.75">
      <c r="A226" s="51">
        <f t="shared" si="21"/>
        <v>196</v>
      </c>
      <c r="B226" s="52">
        <f>IF('Tabla de Amortización'!A226&lt;&gt;"",DATE(YEAR([0]!Primer_pago),MONTH([0]!Primer_pago)+('Tabla de Amortización'!A226-1)*12/Pagos_por_año,DAY([0]!Primer_pago)),"")</f>
        <v>44409</v>
      </c>
      <c r="C226" s="53">
        <f t="shared" si="22"/>
        <v>189339.5440131355</v>
      </c>
      <c r="D226" s="53">
        <f t="shared" si="18"/>
        <v>749.4690283853281</v>
      </c>
      <c r="E226" s="53">
        <f t="shared" si="19"/>
        <v>815.4729811240238</v>
      </c>
      <c r="F226" s="53">
        <f t="shared" si="20"/>
        <v>188524.0710320115</v>
      </c>
      <c r="G226" s="53">
        <f t="shared" si="23"/>
        <v>195252.7048958445</v>
      </c>
    </row>
    <row r="227" spans="1:7" ht="12.75">
      <c r="A227" s="51">
        <f t="shared" si="21"/>
        <v>197</v>
      </c>
      <c r="B227" s="52">
        <f>IF('Tabla de Amortización'!A227&lt;&gt;"",DATE(YEAR([0]!Primer_pago),MONTH([0]!Primer_pago)+('Tabla de Amortización'!A227-1)*12/Pagos_por_año,DAY([0]!Primer_pago)),"")</f>
        <v>44440</v>
      </c>
      <c r="C227" s="53">
        <f t="shared" si="22"/>
        <v>188524.0710320115</v>
      </c>
      <c r="D227" s="53">
        <f t="shared" si="18"/>
        <v>746.2411145017122</v>
      </c>
      <c r="E227" s="53">
        <f t="shared" si="19"/>
        <v>818.7008950076397</v>
      </c>
      <c r="F227" s="53">
        <f t="shared" si="20"/>
        <v>187705.37013700386</v>
      </c>
      <c r="G227" s="53">
        <f t="shared" si="23"/>
        <v>195998.94601034623</v>
      </c>
    </row>
    <row r="228" spans="1:7" ht="12.75">
      <c r="A228" s="51">
        <f t="shared" si="21"/>
        <v>198</v>
      </c>
      <c r="B228" s="52">
        <f>IF('Tabla de Amortización'!A228&lt;&gt;"",DATE(YEAR([0]!Primer_pago),MONTH([0]!Primer_pago)+('Tabla de Amortización'!A228-1)*12/Pagos_por_año,DAY([0]!Primer_pago)),"")</f>
        <v>44470</v>
      </c>
      <c r="C228" s="53">
        <f t="shared" si="22"/>
        <v>187705.37013700386</v>
      </c>
      <c r="D228" s="53">
        <f t="shared" si="18"/>
        <v>743.0004234589737</v>
      </c>
      <c r="E228" s="53">
        <f t="shared" si="19"/>
        <v>821.9415860503782</v>
      </c>
      <c r="F228" s="53">
        <f t="shared" si="20"/>
        <v>186883.42855095348</v>
      </c>
      <c r="G228" s="53">
        <f t="shared" si="23"/>
        <v>196741.94643380522</v>
      </c>
    </row>
    <row r="229" spans="1:7" ht="12.75">
      <c r="A229" s="51">
        <f t="shared" si="21"/>
        <v>199</v>
      </c>
      <c r="B229" s="52">
        <f>IF('Tabla de Amortización'!A229&lt;&gt;"",DATE(YEAR([0]!Primer_pago),MONTH([0]!Primer_pago)+('Tabla de Amortización'!A229-1)*12/Pagos_por_año,DAY([0]!Primer_pago)),"")</f>
        <v>44501</v>
      </c>
      <c r="C229" s="53">
        <f t="shared" si="22"/>
        <v>186883.42855095348</v>
      </c>
      <c r="D229" s="53">
        <f t="shared" si="18"/>
        <v>739.7469046808576</v>
      </c>
      <c r="E229" s="53">
        <f t="shared" si="19"/>
        <v>825.1951048284943</v>
      </c>
      <c r="F229" s="53">
        <f t="shared" si="20"/>
        <v>186058.233446125</v>
      </c>
      <c r="G229" s="53">
        <f t="shared" si="23"/>
        <v>197481.69333848607</v>
      </c>
    </row>
    <row r="230" spans="1:7" ht="12.75">
      <c r="A230" s="51">
        <f t="shared" si="21"/>
        <v>200</v>
      </c>
      <c r="B230" s="52">
        <f>IF('Tabla de Amortización'!A230&lt;&gt;"",DATE(YEAR([0]!Primer_pago),MONTH([0]!Primer_pago)+('Tabla de Amortización'!A230-1)*12/Pagos_por_año,DAY([0]!Primer_pago)),"")</f>
        <v>44531</v>
      </c>
      <c r="C230" s="53">
        <f t="shared" si="22"/>
        <v>186058.233446125</v>
      </c>
      <c r="D230" s="53">
        <f t="shared" si="18"/>
        <v>736.4805073909115</v>
      </c>
      <c r="E230" s="53">
        <f t="shared" si="19"/>
        <v>828.4615021184404</v>
      </c>
      <c r="F230" s="53">
        <f t="shared" si="20"/>
        <v>185229.77194400656</v>
      </c>
      <c r="G230" s="53">
        <f t="shared" si="23"/>
        <v>198218.173845877</v>
      </c>
    </row>
    <row r="231" spans="1:7" ht="12.75">
      <c r="A231" s="51">
        <f t="shared" si="21"/>
        <v>201</v>
      </c>
      <c r="B231" s="52">
        <f>IF('Tabla de Amortización'!A231&lt;&gt;"",DATE(YEAR([0]!Primer_pago),MONTH([0]!Primer_pago)+('Tabla de Amortización'!A231-1)*12/Pagos_por_año,DAY([0]!Primer_pago)),"")</f>
        <v>44562</v>
      </c>
      <c r="C231" s="53">
        <f t="shared" si="22"/>
        <v>185229.77194400656</v>
      </c>
      <c r="D231" s="53">
        <f t="shared" si="18"/>
        <v>733.2011806116927</v>
      </c>
      <c r="E231" s="53">
        <f t="shared" si="19"/>
        <v>831.7408288976592</v>
      </c>
      <c r="F231" s="53">
        <f t="shared" si="20"/>
        <v>184398.0311151089</v>
      </c>
      <c r="G231" s="53">
        <f t="shared" si="23"/>
        <v>198951.37502648868</v>
      </c>
    </row>
    <row r="232" spans="1:7" ht="12.75">
      <c r="A232" s="51">
        <f t="shared" si="21"/>
        <v>202</v>
      </c>
      <c r="B232" s="52">
        <f>IF('Tabla de Amortización'!A232&lt;&gt;"",DATE(YEAR([0]!Primer_pago),MONTH([0]!Primer_pago)+('Tabla de Amortización'!A232-1)*12/Pagos_por_año,DAY([0]!Primer_pago)),"")</f>
        <v>44593</v>
      </c>
      <c r="C232" s="53">
        <f t="shared" si="22"/>
        <v>184398.0311151089</v>
      </c>
      <c r="D232" s="53">
        <f t="shared" si="18"/>
        <v>729.9088731639728</v>
      </c>
      <c r="E232" s="53">
        <f t="shared" si="19"/>
        <v>835.0331363453791</v>
      </c>
      <c r="F232" s="53">
        <f t="shared" si="20"/>
        <v>183562.9979787635</v>
      </c>
      <c r="G232" s="53">
        <f t="shared" si="23"/>
        <v>199681.28389965266</v>
      </c>
    </row>
    <row r="233" spans="1:7" ht="12.75">
      <c r="A233" s="51">
        <f t="shared" si="21"/>
        <v>203</v>
      </c>
      <c r="B233" s="52">
        <f>IF('Tabla de Amortización'!A233&lt;&gt;"",DATE(YEAR([0]!Primer_pago),MONTH([0]!Primer_pago)+('Tabla de Amortización'!A233-1)*12/Pagos_por_año,DAY([0]!Primer_pago)),"")</f>
        <v>44621</v>
      </c>
      <c r="C233" s="53">
        <f t="shared" si="22"/>
        <v>183562.9979787635</v>
      </c>
      <c r="D233" s="53">
        <f t="shared" si="18"/>
        <v>726.6035336659389</v>
      </c>
      <c r="E233" s="53">
        <f t="shared" si="19"/>
        <v>838.338475843413</v>
      </c>
      <c r="F233" s="53">
        <f t="shared" si="20"/>
        <v>182724.65950292008</v>
      </c>
      <c r="G233" s="53">
        <f t="shared" si="23"/>
        <v>200407.8874333186</v>
      </c>
    </row>
    <row r="234" spans="1:7" ht="12.75">
      <c r="A234" s="51">
        <f t="shared" si="21"/>
        <v>204</v>
      </c>
      <c r="B234" s="52">
        <f>IF('Tabla de Amortización'!A234&lt;&gt;"",DATE(YEAR([0]!Primer_pago),MONTH([0]!Primer_pago)+('Tabla de Amortización'!A234-1)*12/Pagos_por_año,DAY([0]!Primer_pago)),"")</f>
        <v>44652</v>
      </c>
      <c r="C234" s="53">
        <f t="shared" si="22"/>
        <v>182724.65950292008</v>
      </c>
      <c r="D234" s="53">
        <f t="shared" si="18"/>
        <v>723.2851105323921</v>
      </c>
      <c r="E234" s="53">
        <f t="shared" si="19"/>
        <v>841.6568989769598</v>
      </c>
      <c r="F234" s="53">
        <f t="shared" si="20"/>
        <v>181883.0026039431</v>
      </c>
      <c r="G234" s="53">
        <f t="shared" si="23"/>
        <v>201131.172543851</v>
      </c>
    </row>
    <row r="235" spans="1:7" ht="12.75">
      <c r="A235" s="51">
        <f t="shared" si="21"/>
        <v>205</v>
      </c>
      <c r="B235" s="52">
        <f>IF('Tabla de Amortización'!A235&lt;&gt;"",DATE(YEAR([0]!Primer_pago),MONTH([0]!Primer_pago)+('Tabla de Amortización'!A235-1)*12/Pagos_por_año,DAY([0]!Primer_pago)),"")</f>
        <v>44682</v>
      </c>
      <c r="C235" s="53">
        <f t="shared" si="22"/>
        <v>181883.0026039431</v>
      </c>
      <c r="D235" s="53">
        <f t="shared" si="18"/>
        <v>719.9535519739416</v>
      </c>
      <c r="E235" s="53">
        <f t="shared" si="19"/>
        <v>844.9884575354104</v>
      </c>
      <c r="F235" s="53">
        <f t="shared" si="20"/>
        <v>181038.0141464077</v>
      </c>
      <c r="G235" s="53">
        <f t="shared" si="23"/>
        <v>201851.12609582493</v>
      </c>
    </row>
    <row r="236" spans="1:7" ht="12.75">
      <c r="A236" s="51">
        <f t="shared" si="21"/>
        <v>206</v>
      </c>
      <c r="B236" s="52">
        <f>IF('Tabla de Amortización'!A236&lt;&gt;"",DATE(YEAR([0]!Primer_pago),MONTH([0]!Primer_pago)+('Tabla de Amortización'!A236-1)*12/Pagos_por_año,DAY([0]!Primer_pago)),"")</f>
        <v>44713</v>
      </c>
      <c r="C236" s="53">
        <f t="shared" si="22"/>
        <v>181038.0141464077</v>
      </c>
      <c r="D236" s="53">
        <f t="shared" si="18"/>
        <v>716.6088059961971</v>
      </c>
      <c r="E236" s="53">
        <f t="shared" si="19"/>
        <v>848.3332035131548</v>
      </c>
      <c r="F236" s="53">
        <f t="shared" si="20"/>
        <v>180189.68094289454</v>
      </c>
      <c r="G236" s="53">
        <f t="shared" si="23"/>
        <v>202567.73490182112</v>
      </c>
    </row>
    <row r="237" spans="1:7" ht="12.75">
      <c r="A237" s="51">
        <f t="shared" si="21"/>
        <v>207</v>
      </c>
      <c r="B237" s="52">
        <f>IF('Tabla de Amortización'!A237&lt;&gt;"",DATE(YEAR([0]!Primer_pago),MONTH([0]!Primer_pago)+('Tabla de Amortización'!A237-1)*12/Pagos_por_año,DAY([0]!Primer_pago)),"")</f>
        <v>44743</v>
      </c>
      <c r="C237" s="53">
        <f t="shared" si="22"/>
        <v>180189.68094289454</v>
      </c>
      <c r="D237" s="53">
        <f t="shared" si="18"/>
        <v>713.2508203989577</v>
      </c>
      <c r="E237" s="53">
        <f t="shared" si="19"/>
        <v>851.6911891103942</v>
      </c>
      <c r="F237" s="53">
        <f t="shared" si="20"/>
        <v>179337.98975378415</v>
      </c>
      <c r="G237" s="53">
        <f t="shared" si="23"/>
        <v>203280.9857222201</v>
      </c>
    </row>
    <row r="238" spans="1:7" ht="12.75">
      <c r="A238" s="51">
        <f t="shared" si="21"/>
        <v>208</v>
      </c>
      <c r="B238" s="52">
        <f>IF('Tabla de Amortización'!A238&lt;&gt;"",DATE(YEAR([0]!Primer_pago),MONTH([0]!Primer_pago)+('Tabla de Amortización'!A238-1)*12/Pagos_por_año,DAY([0]!Primer_pago)),"")</f>
        <v>44774</v>
      </c>
      <c r="C238" s="53">
        <f t="shared" si="22"/>
        <v>179337.98975378415</v>
      </c>
      <c r="D238" s="53">
        <f t="shared" si="18"/>
        <v>709.8795427753956</v>
      </c>
      <c r="E238" s="53">
        <f t="shared" si="19"/>
        <v>855.0624667339563</v>
      </c>
      <c r="F238" s="53">
        <f t="shared" si="20"/>
        <v>178482.9272870502</v>
      </c>
      <c r="G238" s="53">
        <f t="shared" si="23"/>
        <v>203990.8652649955</v>
      </c>
    </row>
    <row r="239" spans="1:7" ht="12.75">
      <c r="A239" s="51">
        <f t="shared" si="21"/>
        <v>209</v>
      </c>
      <c r="B239" s="52">
        <f>IF('Tabla de Amortización'!A239&lt;&gt;"",DATE(YEAR([0]!Primer_pago),MONTH([0]!Primer_pago)+('Tabla de Amortización'!A239-1)*12/Pagos_por_año,DAY([0]!Primer_pago)),"")</f>
        <v>44805</v>
      </c>
      <c r="C239" s="53">
        <f t="shared" si="22"/>
        <v>178482.9272870502</v>
      </c>
      <c r="D239" s="53">
        <f t="shared" si="18"/>
        <v>706.4949205112405</v>
      </c>
      <c r="E239" s="53">
        <f t="shared" si="19"/>
        <v>858.4470889981114</v>
      </c>
      <c r="F239" s="53">
        <f t="shared" si="20"/>
        <v>177624.4801980521</v>
      </c>
      <c r="G239" s="53">
        <f t="shared" si="23"/>
        <v>204697.36018550672</v>
      </c>
    </row>
    <row r="240" spans="1:7" ht="12.75">
      <c r="A240" s="51">
        <f t="shared" si="21"/>
        <v>210</v>
      </c>
      <c r="B240" s="52">
        <f>IF('Tabla de Amortización'!A240&lt;&gt;"",DATE(YEAR([0]!Primer_pago),MONTH([0]!Primer_pago)+('Tabla de Amortización'!A240-1)*12/Pagos_por_año,DAY([0]!Primer_pago)),"")</f>
        <v>44835</v>
      </c>
      <c r="C240" s="53">
        <f t="shared" si="22"/>
        <v>177624.4801980521</v>
      </c>
      <c r="D240" s="53">
        <f t="shared" si="18"/>
        <v>703.0969007839562</v>
      </c>
      <c r="E240" s="53">
        <f t="shared" si="19"/>
        <v>861.8451087253957</v>
      </c>
      <c r="F240" s="53">
        <f t="shared" si="20"/>
        <v>176762.6350893267</v>
      </c>
      <c r="G240" s="53">
        <f t="shared" si="23"/>
        <v>205400.45708629067</v>
      </c>
    </row>
    <row r="241" spans="1:7" ht="12.75">
      <c r="A241" s="51">
        <f t="shared" si="21"/>
        <v>211</v>
      </c>
      <c r="B241" s="52">
        <f>IF('Tabla de Amortización'!A241&lt;&gt;"",DATE(YEAR([0]!Primer_pago),MONTH([0]!Primer_pago)+('Tabla de Amortización'!A241-1)*12/Pagos_por_año,DAY([0]!Primer_pago)),"")</f>
        <v>44866</v>
      </c>
      <c r="C241" s="53">
        <f t="shared" si="22"/>
        <v>176762.6350893267</v>
      </c>
      <c r="D241" s="53">
        <f t="shared" si="18"/>
        <v>699.6854305619182</v>
      </c>
      <c r="E241" s="53">
        <f t="shared" si="19"/>
        <v>865.2565789474337</v>
      </c>
      <c r="F241" s="53">
        <f t="shared" si="20"/>
        <v>175897.37851037926</v>
      </c>
      <c r="G241" s="53">
        <f t="shared" si="23"/>
        <v>206100.1425168526</v>
      </c>
    </row>
    <row r="242" spans="1:7" ht="12.75">
      <c r="A242" s="51">
        <f t="shared" si="21"/>
        <v>212</v>
      </c>
      <c r="B242" s="52">
        <f>IF('Tabla de Amortización'!A242&lt;&gt;"",DATE(YEAR([0]!Primer_pago),MONTH([0]!Primer_pago)+('Tabla de Amortización'!A242-1)*12/Pagos_por_año,DAY([0]!Primer_pago)),"")</f>
        <v>44896</v>
      </c>
      <c r="C242" s="53">
        <f t="shared" si="22"/>
        <v>175897.37851037926</v>
      </c>
      <c r="D242" s="53">
        <f t="shared" si="18"/>
        <v>696.2604566035847</v>
      </c>
      <c r="E242" s="53">
        <f t="shared" si="19"/>
        <v>868.6815529057673</v>
      </c>
      <c r="F242" s="53">
        <f t="shared" si="20"/>
        <v>175028.6969574735</v>
      </c>
      <c r="G242" s="53">
        <f t="shared" si="23"/>
        <v>206796.40297345616</v>
      </c>
    </row>
    <row r="243" spans="1:7" ht="12.75">
      <c r="A243" s="51">
        <f t="shared" si="21"/>
        <v>213</v>
      </c>
      <c r="B243" s="52">
        <f>IF('Tabla de Amortización'!A243&lt;&gt;"",DATE(YEAR([0]!Primer_pago),MONTH([0]!Primer_pago)+('Tabla de Amortización'!A243-1)*12/Pagos_por_año,DAY([0]!Primer_pago)),"")</f>
        <v>44927</v>
      </c>
      <c r="C243" s="53">
        <f t="shared" si="22"/>
        <v>175028.6969574735</v>
      </c>
      <c r="D243" s="53">
        <f t="shared" si="18"/>
        <v>692.821925456666</v>
      </c>
      <c r="E243" s="53">
        <f t="shared" si="19"/>
        <v>872.1200840526859</v>
      </c>
      <c r="F243" s="53">
        <f t="shared" si="20"/>
        <v>174156.57687342082</v>
      </c>
      <c r="G243" s="53">
        <f t="shared" si="23"/>
        <v>207489.22489891283</v>
      </c>
    </row>
    <row r="244" spans="1:7" ht="12.75">
      <c r="A244" s="51">
        <f t="shared" si="21"/>
        <v>214</v>
      </c>
      <c r="B244" s="52">
        <f>IF('Tabla de Amortización'!A244&lt;&gt;"",DATE(YEAR([0]!Primer_pago),MONTH([0]!Primer_pago)+('Tabla de Amortización'!A244-1)*12/Pagos_por_año,DAY([0]!Primer_pago)),"")</f>
        <v>44958</v>
      </c>
      <c r="C244" s="53">
        <f t="shared" si="22"/>
        <v>174156.57687342082</v>
      </c>
      <c r="D244" s="53">
        <f t="shared" si="18"/>
        <v>689.3697834572909</v>
      </c>
      <c r="E244" s="53">
        <f t="shared" si="19"/>
        <v>875.5722260520611</v>
      </c>
      <c r="F244" s="53">
        <f t="shared" si="20"/>
        <v>173281.00464736877</v>
      </c>
      <c r="G244" s="53">
        <f t="shared" si="23"/>
        <v>208178.5946823701</v>
      </c>
    </row>
    <row r="245" spans="1:7" ht="12.75">
      <c r="A245" s="51">
        <f t="shared" si="21"/>
        <v>215</v>
      </c>
      <c r="B245" s="52">
        <f>IF('Tabla de Amortización'!A245&lt;&gt;"",DATE(YEAR([0]!Primer_pago),MONTH([0]!Primer_pago)+('Tabla de Amortización'!A245-1)*12/Pagos_por_año,DAY([0]!Primer_pago)),"")</f>
        <v>44986</v>
      </c>
      <c r="C245" s="53">
        <f t="shared" si="22"/>
        <v>173281.00464736877</v>
      </c>
      <c r="D245" s="53">
        <f t="shared" si="18"/>
        <v>685.9039767291681</v>
      </c>
      <c r="E245" s="53">
        <f t="shared" si="19"/>
        <v>879.0380327801838</v>
      </c>
      <c r="F245" s="53">
        <f t="shared" si="20"/>
        <v>172401.96661458857</v>
      </c>
      <c r="G245" s="53">
        <f t="shared" si="23"/>
        <v>208864.49865909928</v>
      </c>
    </row>
    <row r="246" spans="1:7" ht="12.75">
      <c r="A246" s="51">
        <f t="shared" si="21"/>
        <v>216</v>
      </c>
      <c r="B246" s="52">
        <f>IF('Tabla de Amortización'!A246&lt;&gt;"",DATE(YEAR([0]!Primer_pago),MONTH([0]!Primer_pago)+('Tabla de Amortización'!A246-1)*12/Pagos_por_año,DAY([0]!Primer_pago)),"")</f>
        <v>45017</v>
      </c>
      <c r="C246" s="53">
        <f t="shared" si="22"/>
        <v>172401.96661458857</v>
      </c>
      <c r="D246" s="53">
        <f t="shared" si="18"/>
        <v>682.4244511827465</v>
      </c>
      <c r="E246" s="53">
        <f t="shared" si="19"/>
        <v>882.5175583266055</v>
      </c>
      <c r="F246" s="53">
        <f t="shared" si="20"/>
        <v>171519.44905626198</v>
      </c>
      <c r="G246" s="53">
        <f t="shared" si="23"/>
        <v>209546.92311028202</v>
      </c>
    </row>
    <row r="247" spans="1:7" ht="12.75">
      <c r="A247" s="51">
        <f t="shared" si="21"/>
        <v>217</v>
      </c>
      <c r="B247" s="52">
        <f>IF('Tabla de Amortización'!A247&lt;&gt;"",DATE(YEAR([0]!Primer_pago),MONTH([0]!Primer_pago)+('Tabla de Amortización'!A247-1)*12/Pagos_por_año,DAY([0]!Primer_pago)),"")</f>
        <v>45047</v>
      </c>
      <c r="C247" s="53">
        <f t="shared" si="22"/>
        <v>171519.44905626198</v>
      </c>
      <c r="D247" s="53">
        <f t="shared" si="18"/>
        <v>678.9311525143704</v>
      </c>
      <c r="E247" s="53">
        <f t="shared" si="19"/>
        <v>886.0108569949815</v>
      </c>
      <c r="F247" s="53">
        <f t="shared" si="20"/>
        <v>170633.438199267</v>
      </c>
      <c r="G247" s="53">
        <f t="shared" si="23"/>
        <v>210225.85426279638</v>
      </c>
    </row>
    <row r="248" spans="1:7" ht="12.75">
      <c r="A248" s="51">
        <f t="shared" si="21"/>
        <v>218</v>
      </c>
      <c r="B248" s="52">
        <f>IF('Tabla de Amortización'!A248&lt;&gt;"",DATE(YEAR([0]!Primer_pago),MONTH([0]!Primer_pago)+('Tabla de Amortización'!A248-1)*12/Pagos_por_año,DAY([0]!Primer_pago)),"")</f>
        <v>45078</v>
      </c>
      <c r="C248" s="53">
        <f t="shared" si="22"/>
        <v>170633.438199267</v>
      </c>
      <c r="D248" s="53">
        <f t="shared" si="18"/>
        <v>675.4240262054319</v>
      </c>
      <c r="E248" s="53">
        <f t="shared" si="19"/>
        <v>889.51798330392</v>
      </c>
      <c r="F248" s="53">
        <f t="shared" si="20"/>
        <v>169743.92021596307</v>
      </c>
      <c r="G248" s="53">
        <f t="shared" si="23"/>
        <v>210901.2782890018</v>
      </c>
    </row>
    <row r="249" spans="1:7" ht="12.75">
      <c r="A249" s="51">
        <f t="shared" si="21"/>
        <v>219</v>
      </c>
      <c r="B249" s="52">
        <f>IF('Tabla de Amortización'!A249&lt;&gt;"",DATE(YEAR([0]!Primer_pago),MONTH([0]!Primer_pago)+('Tabla de Amortización'!A249-1)*12/Pagos_por_año,DAY([0]!Primer_pago)),"")</f>
        <v>45108</v>
      </c>
      <c r="C249" s="53">
        <f t="shared" si="22"/>
        <v>169743.92021596307</v>
      </c>
      <c r="D249" s="53">
        <f t="shared" si="18"/>
        <v>671.9030175215205</v>
      </c>
      <c r="E249" s="53">
        <f t="shared" si="19"/>
        <v>893.0389919878314</v>
      </c>
      <c r="F249" s="53">
        <f t="shared" si="20"/>
        <v>168850.88122397524</v>
      </c>
      <c r="G249" s="53">
        <f t="shared" si="23"/>
        <v>211573.18130652333</v>
      </c>
    </row>
    <row r="250" spans="1:7" ht="12.75">
      <c r="A250" s="51">
        <f t="shared" si="21"/>
        <v>220</v>
      </c>
      <c r="B250" s="52">
        <f>IF('Tabla de Amortización'!A250&lt;&gt;"",DATE(YEAR([0]!Primer_pago),MONTH([0]!Primer_pago)+('Tabla de Amortización'!A250-1)*12/Pagos_por_año,DAY([0]!Primer_pago)),"")</f>
        <v>45139</v>
      </c>
      <c r="C250" s="53">
        <f t="shared" si="22"/>
        <v>168850.88122397524</v>
      </c>
      <c r="D250" s="53">
        <f t="shared" si="18"/>
        <v>668.3680715115687</v>
      </c>
      <c r="E250" s="53">
        <f t="shared" si="19"/>
        <v>896.5739379977832</v>
      </c>
      <c r="F250" s="53">
        <f t="shared" si="20"/>
        <v>167954.30728597747</v>
      </c>
      <c r="G250" s="53">
        <f t="shared" si="23"/>
        <v>212241.5493780349</v>
      </c>
    </row>
    <row r="251" spans="1:7" ht="12.75">
      <c r="A251" s="51">
        <f t="shared" si="21"/>
        <v>221</v>
      </c>
      <c r="B251" s="52">
        <f>IF('Tabla de Amortización'!A251&lt;&gt;"",DATE(YEAR([0]!Primer_pago),MONTH([0]!Primer_pago)+('Tabla de Amortización'!A251-1)*12/Pagos_por_año,DAY([0]!Primer_pago)),"")</f>
        <v>45170</v>
      </c>
      <c r="C251" s="53">
        <f t="shared" si="22"/>
        <v>167954.30728597747</v>
      </c>
      <c r="D251" s="53">
        <f t="shared" si="18"/>
        <v>664.8191330069942</v>
      </c>
      <c r="E251" s="53">
        <f t="shared" si="19"/>
        <v>900.1228765023577</v>
      </c>
      <c r="F251" s="53">
        <f t="shared" si="20"/>
        <v>167054.1844094751</v>
      </c>
      <c r="G251" s="53">
        <f t="shared" si="23"/>
        <v>212906.3685110419</v>
      </c>
    </row>
    <row r="252" spans="1:7" ht="12.75">
      <c r="A252" s="51">
        <f t="shared" si="21"/>
        <v>222</v>
      </c>
      <c r="B252" s="52">
        <f>IF('Tabla de Amortización'!A252&lt;&gt;"",DATE(YEAR([0]!Primer_pago),MONTH([0]!Primer_pago)+('Tabla de Amortización'!A252-1)*12/Pagos_por_año,DAY([0]!Primer_pago)),"")</f>
        <v>45200</v>
      </c>
      <c r="C252" s="53">
        <f t="shared" si="22"/>
        <v>167054.1844094751</v>
      </c>
      <c r="D252" s="53">
        <f t="shared" si="18"/>
        <v>661.256146620839</v>
      </c>
      <c r="E252" s="53">
        <f t="shared" si="19"/>
        <v>903.6858628885129</v>
      </c>
      <c r="F252" s="53">
        <f t="shared" si="20"/>
        <v>166150.49854658658</v>
      </c>
      <c r="G252" s="53">
        <f t="shared" si="23"/>
        <v>213567.62465766273</v>
      </c>
    </row>
    <row r="253" spans="1:7" ht="12.75">
      <c r="A253" s="51">
        <f t="shared" si="21"/>
        <v>223</v>
      </c>
      <c r="B253" s="52">
        <f>IF('Tabla de Amortización'!A253&lt;&gt;"",DATE(YEAR([0]!Primer_pago),MONTH([0]!Primer_pago)+('Tabla de Amortización'!A253-1)*12/Pagos_por_año,DAY([0]!Primer_pago)),"")</f>
        <v>45231</v>
      </c>
      <c r="C253" s="53">
        <f t="shared" si="22"/>
        <v>166150.49854658658</v>
      </c>
      <c r="D253" s="53">
        <f t="shared" si="18"/>
        <v>657.6790567469053</v>
      </c>
      <c r="E253" s="53">
        <f t="shared" si="19"/>
        <v>907.2629527624466</v>
      </c>
      <c r="F253" s="53">
        <f t="shared" si="20"/>
        <v>165243.23559382412</v>
      </c>
      <c r="G253" s="53">
        <f t="shared" si="23"/>
        <v>214225.30371440965</v>
      </c>
    </row>
    <row r="254" spans="1:7" ht="12.75">
      <c r="A254" s="51">
        <f t="shared" si="21"/>
        <v>224</v>
      </c>
      <c r="B254" s="52">
        <f>IF('Tabla de Amortización'!A254&lt;&gt;"",DATE(YEAR([0]!Primer_pago),MONTH([0]!Primer_pago)+('Tabla de Amortización'!A254-1)*12/Pagos_por_año,DAY([0]!Primer_pago)),"")</f>
        <v>45261</v>
      </c>
      <c r="C254" s="53">
        <f t="shared" si="22"/>
        <v>165243.23559382412</v>
      </c>
      <c r="D254" s="53">
        <f t="shared" si="18"/>
        <v>654.0878075588872</v>
      </c>
      <c r="E254" s="53">
        <f t="shared" si="19"/>
        <v>910.8542019504647</v>
      </c>
      <c r="F254" s="53">
        <f t="shared" si="20"/>
        <v>164332.38139187367</v>
      </c>
      <c r="G254" s="53">
        <f t="shared" si="23"/>
        <v>214879.39152196853</v>
      </c>
    </row>
    <row r="255" spans="1:7" ht="12.75">
      <c r="A255" s="51">
        <f t="shared" si="21"/>
        <v>225</v>
      </c>
      <c r="B255" s="52">
        <f>IF('Tabla de Amortización'!A255&lt;&gt;"",DATE(YEAR([0]!Primer_pago),MONTH([0]!Primer_pago)+('Tabla de Amortización'!A255-1)*12/Pagos_por_año,DAY([0]!Primer_pago)),"")</f>
        <v>45292</v>
      </c>
      <c r="C255" s="53">
        <f t="shared" si="22"/>
        <v>164332.38139187367</v>
      </c>
      <c r="D255" s="53">
        <f t="shared" si="18"/>
        <v>650.4823430095</v>
      </c>
      <c r="E255" s="53">
        <f t="shared" si="19"/>
        <v>914.4596664998519</v>
      </c>
      <c r="F255" s="53">
        <f t="shared" si="20"/>
        <v>163417.92172537383</v>
      </c>
      <c r="G255" s="53">
        <f t="shared" si="23"/>
        <v>215529.87386497803</v>
      </c>
    </row>
    <row r="256" spans="1:7" ht="12.75">
      <c r="A256" s="51">
        <f t="shared" si="21"/>
        <v>226</v>
      </c>
      <c r="B256" s="52">
        <f>IF('Tabla de Amortización'!A256&lt;&gt;"",DATE(YEAR([0]!Primer_pago),MONTH([0]!Primer_pago)+('Tabla de Amortización'!A256-1)*12/Pagos_por_año,DAY([0]!Primer_pago)),"")</f>
        <v>45323</v>
      </c>
      <c r="C256" s="53">
        <f t="shared" si="22"/>
        <v>163417.92172537383</v>
      </c>
      <c r="D256" s="53">
        <f t="shared" si="18"/>
        <v>646.8626068296048</v>
      </c>
      <c r="E256" s="53">
        <f t="shared" si="19"/>
        <v>918.0794026797471</v>
      </c>
      <c r="F256" s="53">
        <f t="shared" si="20"/>
        <v>162499.84232269408</v>
      </c>
      <c r="G256" s="53">
        <f t="shared" si="23"/>
        <v>216176.73647180764</v>
      </c>
    </row>
    <row r="257" spans="1:7" ht="12.75">
      <c r="A257" s="51">
        <f t="shared" si="21"/>
        <v>227</v>
      </c>
      <c r="B257" s="52">
        <f>IF('Tabla de Amortización'!A257&lt;&gt;"",DATE(YEAR([0]!Primer_pago),MONTH([0]!Primer_pago)+('Tabla de Amortización'!A257-1)*12/Pagos_por_año,DAY([0]!Primer_pago)),"")</f>
        <v>45352</v>
      </c>
      <c r="C257" s="53">
        <f t="shared" si="22"/>
        <v>162499.84232269408</v>
      </c>
      <c r="D257" s="53">
        <f t="shared" si="18"/>
        <v>643.2285425273308</v>
      </c>
      <c r="E257" s="53">
        <f t="shared" si="19"/>
        <v>921.7134669820211</v>
      </c>
      <c r="F257" s="53">
        <f t="shared" si="20"/>
        <v>161578.12885571207</v>
      </c>
      <c r="G257" s="53">
        <f t="shared" si="23"/>
        <v>216819.96501433497</v>
      </c>
    </row>
    <row r="258" spans="1:7" ht="12.75">
      <c r="A258" s="51">
        <f t="shared" si="21"/>
        <v>228</v>
      </c>
      <c r="B258" s="52">
        <f>IF('Tabla de Amortización'!A258&lt;&gt;"",DATE(YEAR([0]!Primer_pago),MONTH([0]!Primer_pago)+('Tabla de Amortización'!A258-1)*12/Pagos_por_año,DAY([0]!Primer_pago)),"")</f>
        <v>45383</v>
      </c>
      <c r="C258" s="53">
        <f t="shared" si="22"/>
        <v>161578.12885571207</v>
      </c>
      <c r="D258" s="53">
        <f t="shared" si="18"/>
        <v>639.5800933871936</v>
      </c>
      <c r="E258" s="53">
        <f t="shared" si="19"/>
        <v>925.3619161221583</v>
      </c>
      <c r="F258" s="53">
        <f t="shared" si="20"/>
        <v>160652.7669395899</v>
      </c>
      <c r="G258" s="53">
        <f t="shared" si="23"/>
        <v>217459.54510772217</v>
      </c>
    </row>
    <row r="259" spans="1:7" ht="12.75">
      <c r="A259" s="51">
        <f t="shared" si="21"/>
        <v>229</v>
      </c>
      <c r="B259" s="52">
        <f>IF('Tabla de Amortización'!A259&lt;&gt;"",DATE(YEAR([0]!Primer_pago),MONTH([0]!Primer_pago)+('Tabla de Amortización'!A259-1)*12/Pagos_por_año,DAY([0]!Primer_pago)),"")</f>
        <v>45413</v>
      </c>
      <c r="C259" s="53">
        <f t="shared" si="22"/>
        <v>160652.7669395899</v>
      </c>
      <c r="D259" s="53">
        <f t="shared" si="18"/>
        <v>635.9172024692101</v>
      </c>
      <c r="E259" s="53">
        <f t="shared" si="19"/>
        <v>929.0248070401418</v>
      </c>
      <c r="F259" s="53">
        <f t="shared" si="20"/>
        <v>159723.74213254976</v>
      </c>
      <c r="G259" s="53">
        <f t="shared" si="23"/>
        <v>218095.4623101914</v>
      </c>
    </row>
    <row r="260" spans="1:7" ht="12.75">
      <c r="A260" s="51">
        <f t="shared" si="21"/>
        <v>230</v>
      </c>
      <c r="B260" s="52">
        <f>IF('Tabla de Amortización'!A260&lt;&gt;"",DATE(YEAR([0]!Primer_pago),MONTH([0]!Primer_pago)+('Tabla de Amortización'!A260-1)*12/Pagos_por_año,DAY([0]!Primer_pago)),"")</f>
        <v>45444</v>
      </c>
      <c r="C260" s="53">
        <f t="shared" si="22"/>
        <v>159723.74213254976</v>
      </c>
      <c r="D260" s="53">
        <f t="shared" si="18"/>
        <v>632.2398126080095</v>
      </c>
      <c r="E260" s="53">
        <f t="shared" si="19"/>
        <v>932.7021969013424</v>
      </c>
      <c r="F260" s="53">
        <f t="shared" si="20"/>
        <v>158791.0399356484</v>
      </c>
      <c r="G260" s="53">
        <f t="shared" si="23"/>
        <v>218727.7021227994</v>
      </c>
    </row>
    <row r="261" spans="1:7" ht="12.75">
      <c r="A261" s="51">
        <f t="shared" si="21"/>
        <v>231</v>
      </c>
      <c r="B261" s="52">
        <f>IF('Tabla de Amortización'!A261&lt;&gt;"",DATE(YEAR([0]!Primer_pago),MONTH([0]!Primer_pago)+('Tabla de Amortización'!A261-1)*12/Pagos_por_año,DAY([0]!Primer_pago)),"")</f>
        <v>45474</v>
      </c>
      <c r="C261" s="53">
        <f t="shared" si="22"/>
        <v>158791.0399356484</v>
      </c>
      <c r="D261" s="53">
        <f t="shared" si="18"/>
        <v>628.5478664119416</v>
      </c>
      <c r="E261" s="53">
        <f t="shared" si="19"/>
        <v>936.3941430974103</v>
      </c>
      <c r="F261" s="53">
        <f t="shared" si="20"/>
        <v>157854.645792551</v>
      </c>
      <c r="G261" s="53">
        <f t="shared" si="23"/>
        <v>219356.24998921136</v>
      </c>
    </row>
    <row r="262" spans="1:7" ht="12.75">
      <c r="A262" s="51">
        <f t="shared" si="21"/>
        <v>232</v>
      </c>
      <c r="B262" s="52">
        <f>IF('Tabla de Amortización'!A262&lt;&gt;"",DATE(YEAR([0]!Primer_pago),MONTH([0]!Primer_pago)+('Tabla de Amortización'!A262-1)*12/Pagos_por_año,DAY([0]!Primer_pago)),"")</f>
        <v>45505</v>
      </c>
      <c r="C262" s="53">
        <f t="shared" si="22"/>
        <v>157854.645792551</v>
      </c>
      <c r="D262" s="53">
        <f t="shared" si="18"/>
        <v>624.8413062621811</v>
      </c>
      <c r="E262" s="53">
        <f t="shared" si="19"/>
        <v>940.1007032471708</v>
      </c>
      <c r="F262" s="53">
        <f t="shared" si="20"/>
        <v>156914.5450893038</v>
      </c>
      <c r="G262" s="53">
        <f t="shared" si="23"/>
        <v>219981.09129547354</v>
      </c>
    </row>
    <row r="263" spans="1:7" ht="12.75">
      <c r="A263" s="51">
        <f t="shared" si="21"/>
        <v>233</v>
      </c>
      <c r="B263" s="52">
        <f>IF('Tabla de Amortización'!A263&lt;&gt;"",DATE(YEAR([0]!Primer_pago),MONTH([0]!Primer_pago)+('Tabla de Amortización'!A263-1)*12/Pagos_por_año,DAY([0]!Primer_pago)),"")</f>
        <v>45536</v>
      </c>
      <c r="C263" s="53">
        <f t="shared" si="22"/>
        <v>156914.5450893038</v>
      </c>
      <c r="D263" s="53">
        <f t="shared" si="18"/>
        <v>621.1200743118276</v>
      </c>
      <c r="E263" s="53">
        <f t="shared" si="19"/>
        <v>943.8219351975243</v>
      </c>
      <c r="F263" s="53">
        <f t="shared" si="20"/>
        <v>155970.7231541063</v>
      </c>
      <c r="G263" s="53">
        <f t="shared" si="23"/>
        <v>220602.21136978536</v>
      </c>
    </row>
    <row r="264" spans="1:7" ht="12.75">
      <c r="A264" s="51">
        <f t="shared" si="21"/>
        <v>234</v>
      </c>
      <c r="B264" s="52">
        <f>IF('Tabla de Amortización'!A264&lt;&gt;"",DATE(YEAR([0]!Primer_pago),MONTH([0]!Primer_pago)+('Tabla de Amortización'!A264-1)*12/Pagos_por_año,DAY([0]!Primer_pago)),"")</f>
        <v>45566</v>
      </c>
      <c r="C264" s="53">
        <f t="shared" si="22"/>
        <v>155970.7231541063</v>
      </c>
      <c r="D264" s="53">
        <f t="shared" si="18"/>
        <v>617.3841124850042</v>
      </c>
      <c r="E264" s="53">
        <f t="shared" si="19"/>
        <v>947.5578970243478</v>
      </c>
      <c r="F264" s="53">
        <f t="shared" si="20"/>
        <v>155023.16525708194</v>
      </c>
      <c r="G264" s="53">
        <f t="shared" si="23"/>
        <v>221219.59548227038</v>
      </c>
    </row>
    <row r="265" spans="1:7" ht="12.75">
      <c r="A265" s="51">
        <f t="shared" si="21"/>
        <v>235</v>
      </c>
      <c r="B265" s="52">
        <f>IF('Tabla de Amortización'!A265&lt;&gt;"",DATE(YEAR([0]!Primer_pago),MONTH([0]!Primer_pago)+('Tabla de Amortización'!A265-1)*12/Pagos_por_año,DAY([0]!Primer_pago)),"")</f>
        <v>45597</v>
      </c>
      <c r="C265" s="53">
        <f t="shared" si="22"/>
        <v>155023.16525708194</v>
      </c>
      <c r="D265" s="53">
        <f t="shared" si="18"/>
        <v>613.6333624759494</v>
      </c>
      <c r="E265" s="53">
        <f t="shared" si="19"/>
        <v>951.3086470334025</v>
      </c>
      <c r="F265" s="53">
        <f t="shared" si="20"/>
        <v>154071.85661004853</v>
      </c>
      <c r="G265" s="53">
        <f t="shared" si="23"/>
        <v>221833.22884474634</v>
      </c>
    </row>
    <row r="266" spans="1:7" ht="12.75">
      <c r="A266" s="51">
        <f t="shared" si="21"/>
        <v>236</v>
      </c>
      <c r="B266" s="52">
        <f>IF('Tabla de Amortización'!A266&lt;&gt;"",DATE(YEAR([0]!Primer_pago),MONTH([0]!Primer_pago)+('Tabla de Amortización'!A266-1)*12/Pagos_por_año,DAY([0]!Primer_pago)),"")</f>
        <v>45627</v>
      </c>
      <c r="C266" s="53">
        <f t="shared" si="22"/>
        <v>154071.85661004853</v>
      </c>
      <c r="D266" s="53">
        <f t="shared" si="18"/>
        <v>609.8677657481088</v>
      </c>
      <c r="E266" s="53">
        <f t="shared" si="19"/>
        <v>955.0742437612431</v>
      </c>
      <c r="F266" s="53">
        <f t="shared" si="20"/>
        <v>153116.78236628728</v>
      </c>
      <c r="G266" s="53">
        <f t="shared" si="23"/>
        <v>222443.09661049445</v>
      </c>
    </row>
    <row r="267" spans="1:7" ht="12.75">
      <c r="A267" s="51">
        <f t="shared" si="21"/>
        <v>237</v>
      </c>
      <c r="B267" s="52">
        <f>IF('Tabla de Amortización'!A267&lt;&gt;"",DATE(YEAR([0]!Primer_pago),MONTH([0]!Primer_pago)+('Tabla de Amortización'!A267-1)*12/Pagos_por_año,DAY([0]!Primer_pago)),"")</f>
        <v>45658</v>
      </c>
      <c r="C267" s="53">
        <f t="shared" si="22"/>
        <v>153116.78236628728</v>
      </c>
      <c r="D267" s="53">
        <f t="shared" si="18"/>
        <v>606.0872635332205</v>
      </c>
      <c r="E267" s="53">
        <f t="shared" si="19"/>
        <v>958.8547459761314</v>
      </c>
      <c r="F267" s="53">
        <f t="shared" si="20"/>
        <v>152157.92762031115</v>
      </c>
      <c r="G267" s="53">
        <f t="shared" si="23"/>
        <v>223049.1838740277</v>
      </c>
    </row>
    <row r="268" spans="1:7" ht="12.75">
      <c r="A268" s="51">
        <f t="shared" si="21"/>
        <v>238</v>
      </c>
      <c r="B268" s="52">
        <f>IF('Tabla de Amortización'!A268&lt;&gt;"",DATE(YEAR([0]!Primer_pago),MONTH([0]!Primer_pago)+('Tabla de Amortización'!A268-1)*12/Pagos_por_año,DAY([0]!Primer_pago)),"")</f>
        <v>45689</v>
      </c>
      <c r="C268" s="53">
        <f t="shared" si="22"/>
        <v>152157.92762031115</v>
      </c>
      <c r="D268" s="53">
        <f t="shared" si="18"/>
        <v>602.2917968303983</v>
      </c>
      <c r="E268" s="53">
        <f t="shared" si="19"/>
        <v>962.6502126789536</v>
      </c>
      <c r="F268" s="53">
        <f t="shared" si="20"/>
        <v>151195.2774076322</v>
      </c>
      <c r="G268" s="53">
        <f t="shared" si="23"/>
        <v>223651.47567085808</v>
      </c>
    </row>
    <row r="269" spans="1:7" ht="12.75">
      <c r="A269" s="51">
        <f t="shared" si="21"/>
        <v>239</v>
      </c>
      <c r="B269" s="52">
        <f>IF('Tabla de Amortización'!A269&lt;&gt;"",DATE(YEAR([0]!Primer_pago),MONTH([0]!Primer_pago)+('Tabla de Amortización'!A269-1)*12/Pagos_por_año,DAY([0]!Primer_pago)),"")</f>
        <v>45717</v>
      </c>
      <c r="C269" s="53">
        <f t="shared" si="22"/>
        <v>151195.2774076322</v>
      </c>
      <c r="D269" s="53">
        <f t="shared" si="18"/>
        <v>598.4813064052108</v>
      </c>
      <c r="E269" s="53">
        <f t="shared" si="19"/>
        <v>966.4607031041411</v>
      </c>
      <c r="F269" s="53">
        <f t="shared" si="20"/>
        <v>150228.81670452806</v>
      </c>
      <c r="G269" s="53">
        <f t="shared" si="23"/>
        <v>224249.9569772633</v>
      </c>
    </row>
    <row r="270" spans="1:7" ht="12.75">
      <c r="A270" s="51">
        <f t="shared" si="21"/>
        <v>240</v>
      </c>
      <c r="B270" s="52">
        <f>IF('Tabla de Amortización'!A270&lt;&gt;"",DATE(YEAR([0]!Primer_pago),MONTH([0]!Primer_pago)+('Tabla de Amortización'!A270-1)*12/Pagos_por_año,DAY([0]!Primer_pago)),"")</f>
        <v>45748</v>
      </c>
      <c r="C270" s="53">
        <f t="shared" si="22"/>
        <v>150228.81670452806</v>
      </c>
      <c r="D270" s="53">
        <f t="shared" si="18"/>
        <v>594.655732788757</v>
      </c>
      <c r="E270" s="53">
        <f t="shared" si="19"/>
        <v>970.286276720595</v>
      </c>
      <c r="F270" s="53">
        <f t="shared" si="20"/>
        <v>149258.53042780748</v>
      </c>
      <c r="G270" s="53">
        <f t="shared" si="23"/>
        <v>224844.61271005205</v>
      </c>
    </row>
    <row r="271" spans="1:7" ht="12.75">
      <c r="A271" s="51">
        <f t="shared" si="21"/>
        <v>241</v>
      </c>
      <c r="B271" s="52">
        <f>IF('Tabla de Amortización'!A271&lt;&gt;"",DATE(YEAR([0]!Primer_pago),MONTH([0]!Primer_pago)+('Tabla de Amortización'!A271-1)*12/Pagos_por_año,DAY([0]!Primer_pago)),"")</f>
        <v>45778</v>
      </c>
      <c r="C271" s="53">
        <f t="shared" si="22"/>
        <v>149258.53042780748</v>
      </c>
      <c r="D271" s="53">
        <f t="shared" si="18"/>
        <v>590.815016276738</v>
      </c>
      <c r="E271" s="53">
        <f t="shared" si="19"/>
        <v>974.1269932326139</v>
      </c>
      <c r="F271" s="53">
        <f t="shared" si="20"/>
        <v>148284.40343457487</v>
      </c>
      <c r="G271" s="53">
        <f t="shared" si="23"/>
        <v>225435.42772632878</v>
      </c>
    </row>
    <row r="272" spans="1:7" ht="12.75">
      <c r="A272" s="51">
        <f t="shared" si="21"/>
        <v>242</v>
      </c>
      <c r="B272" s="52">
        <f>IF('Tabla de Amortización'!A272&lt;&gt;"",DATE(YEAR([0]!Primer_pago),MONTH([0]!Primer_pago)+('Tabla de Amortización'!A272-1)*12/Pagos_por_año,DAY([0]!Primer_pago)),"")</f>
        <v>45809</v>
      </c>
      <c r="C272" s="53">
        <f t="shared" si="22"/>
        <v>148284.40343457487</v>
      </c>
      <c r="D272" s="53">
        <f t="shared" si="18"/>
        <v>586.9590969285256</v>
      </c>
      <c r="E272" s="53">
        <f t="shared" si="19"/>
        <v>977.9829125808263</v>
      </c>
      <c r="F272" s="53">
        <f t="shared" si="20"/>
        <v>147306.42052199403</v>
      </c>
      <c r="G272" s="53">
        <f t="shared" si="23"/>
        <v>226022.38682325731</v>
      </c>
    </row>
    <row r="273" spans="1:7" ht="12.75">
      <c r="A273" s="51">
        <f t="shared" si="21"/>
        <v>243</v>
      </c>
      <c r="B273" s="52">
        <f>IF('Tabla de Amortización'!A273&lt;&gt;"",DATE(YEAR([0]!Primer_pago),MONTH([0]!Primer_pago)+('Tabla de Amortización'!A273-1)*12/Pagos_por_año,DAY([0]!Primer_pago)),"")</f>
        <v>45839</v>
      </c>
      <c r="C273" s="53">
        <f t="shared" si="22"/>
        <v>147306.42052199403</v>
      </c>
      <c r="D273" s="53">
        <f t="shared" si="18"/>
        <v>583.0879145662265</v>
      </c>
      <c r="E273" s="53">
        <f t="shared" si="19"/>
        <v>981.8540949431255</v>
      </c>
      <c r="F273" s="53">
        <f t="shared" si="20"/>
        <v>146324.56642705092</v>
      </c>
      <c r="G273" s="53">
        <f t="shared" si="23"/>
        <v>226605.47473782353</v>
      </c>
    </row>
    <row r="274" spans="1:7" ht="12.75">
      <c r="A274" s="51">
        <f t="shared" si="21"/>
        <v>244</v>
      </c>
      <c r="B274" s="52">
        <f>IF('Tabla de Amortización'!A274&lt;&gt;"",DATE(YEAR([0]!Primer_pago),MONTH([0]!Primer_pago)+('Tabla de Amortización'!A274-1)*12/Pagos_por_año,DAY([0]!Primer_pago)),"")</f>
        <v>45870</v>
      </c>
      <c r="C274" s="53">
        <f t="shared" si="22"/>
        <v>146324.56642705092</v>
      </c>
      <c r="D274" s="53">
        <f t="shared" si="18"/>
        <v>579.2014087737433</v>
      </c>
      <c r="E274" s="53">
        <f t="shared" si="19"/>
        <v>985.7406007356086</v>
      </c>
      <c r="F274" s="53">
        <f t="shared" si="20"/>
        <v>145338.8258263153</v>
      </c>
      <c r="G274" s="53">
        <f t="shared" si="23"/>
        <v>227184.67614659728</v>
      </c>
    </row>
    <row r="275" spans="1:7" ht="12.75">
      <c r="A275" s="51">
        <f t="shared" si="21"/>
        <v>245</v>
      </c>
      <c r="B275" s="52">
        <f>IF('Tabla de Amortización'!A275&lt;&gt;"",DATE(YEAR([0]!Primer_pago),MONTH([0]!Primer_pago)+('Tabla de Amortización'!A275-1)*12/Pagos_por_año,DAY([0]!Primer_pago)),"")</f>
        <v>45901</v>
      </c>
      <c r="C275" s="53">
        <f t="shared" si="22"/>
        <v>145338.8258263153</v>
      </c>
      <c r="D275" s="53">
        <f t="shared" si="18"/>
        <v>575.2995188958314</v>
      </c>
      <c r="E275" s="53">
        <f t="shared" si="19"/>
        <v>989.6424906135205</v>
      </c>
      <c r="F275" s="53">
        <f t="shared" si="20"/>
        <v>144349.1833357018</v>
      </c>
      <c r="G275" s="53">
        <f t="shared" si="23"/>
        <v>227759.9756654931</v>
      </c>
    </row>
    <row r="276" spans="1:7" ht="12.75">
      <c r="A276" s="51">
        <f t="shared" si="21"/>
        <v>246</v>
      </c>
      <c r="B276" s="52">
        <f>IF('Tabla de Amortización'!A276&lt;&gt;"",DATE(YEAR([0]!Primer_pago),MONTH([0]!Primer_pago)+('Tabla de Amortización'!A276-1)*12/Pagos_por_año,DAY([0]!Primer_pago)),"")</f>
        <v>45931</v>
      </c>
      <c r="C276" s="53">
        <f t="shared" si="22"/>
        <v>144349.1833357018</v>
      </c>
      <c r="D276" s="53">
        <f t="shared" si="18"/>
        <v>571.3821840371529</v>
      </c>
      <c r="E276" s="53">
        <f t="shared" si="19"/>
        <v>993.559825472199</v>
      </c>
      <c r="F276" s="53">
        <f t="shared" si="20"/>
        <v>143355.62351022958</v>
      </c>
      <c r="G276" s="53">
        <f t="shared" si="23"/>
        <v>228331.35784953026</v>
      </c>
    </row>
    <row r="277" spans="1:7" ht="12.75">
      <c r="A277" s="51">
        <f t="shared" si="21"/>
        <v>247</v>
      </c>
      <c r="B277" s="52">
        <f>IF('Tabla de Amortización'!A277&lt;&gt;"",DATE(YEAR([0]!Primer_pago),MONTH([0]!Primer_pago)+('Tabla de Amortización'!A277-1)*12/Pagos_por_año,DAY([0]!Primer_pago)),"")</f>
        <v>45962</v>
      </c>
      <c r="C277" s="53">
        <f t="shared" si="22"/>
        <v>143355.62351022958</v>
      </c>
      <c r="D277" s="53">
        <f t="shared" si="18"/>
        <v>567.4493430613254</v>
      </c>
      <c r="E277" s="53">
        <f t="shared" si="19"/>
        <v>997.4926664480265</v>
      </c>
      <c r="F277" s="53">
        <f t="shared" si="20"/>
        <v>142358.13084378155</v>
      </c>
      <c r="G277" s="53">
        <f t="shared" si="23"/>
        <v>228898.8071925916</v>
      </c>
    </row>
    <row r="278" spans="1:7" ht="12.75">
      <c r="A278" s="51">
        <f t="shared" si="21"/>
        <v>248</v>
      </c>
      <c r="B278" s="52">
        <f>IF('Tabla de Amortización'!A278&lt;&gt;"",DATE(YEAR([0]!Primer_pago),MONTH([0]!Primer_pago)+('Tabla de Amortización'!A278-1)*12/Pagos_por_año,DAY([0]!Primer_pago)),"")</f>
        <v>45992</v>
      </c>
      <c r="C278" s="53">
        <f t="shared" si="22"/>
        <v>142358.13084378155</v>
      </c>
      <c r="D278" s="53">
        <f t="shared" si="18"/>
        <v>563.5009345899687</v>
      </c>
      <c r="E278" s="53">
        <f t="shared" si="19"/>
        <v>1001.4410749193833</v>
      </c>
      <c r="F278" s="53">
        <f t="shared" si="20"/>
        <v>141356.68976886215</v>
      </c>
      <c r="G278" s="53">
        <f t="shared" si="23"/>
        <v>229462.30812718158</v>
      </c>
    </row>
    <row r="279" spans="1:7" ht="12.75">
      <c r="A279" s="51">
        <f t="shared" si="21"/>
        <v>249</v>
      </c>
      <c r="B279" s="52">
        <f>IF('Tabla de Amortización'!A279&lt;&gt;"",DATE(YEAR([0]!Primer_pago),MONTH([0]!Primer_pago)+('Tabla de Amortización'!A279-1)*12/Pagos_por_año,DAY([0]!Primer_pago)),"")</f>
        <v>46023</v>
      </c>
      <c r="C279" s="53">
        <f t="shared" si="22"/>
        <v>141356.68976886215</v>
      </c>
      <c r="D279" s="53">
        <f t="shared" si="18"/>
        <v>559.5368970017461</v>
      </c>
      <c r="E279" s="53">
        <f t="shared" si="19"/>
        <v>1005.4051125076058</v>
      </c>
      <c r="F279" s="53">
        <f t="shared" si="20"/>
        <v>140351.28465635455</v>
      </c>
      <c r="G279" s="53">
        <f t="shared" si="23"/>
        <v>230021.84502418333</v>
      </c>
    </row>
    <row r="280" spans="1:7" ht="12.75">
      <c r="A280" s="51">
        <f t="shared" si="21"/>
        <v>250</v>
      </c>
      <c r="B280" s="52">
        <f>IF('Tabla de Amortización'!A280&lt;&gt;"",DATE(YEAR([0]!Primer_pago),MONTH([0]!Primer_pago)+('Tabla de Amortización'!A280-1)*12/Pagos_por_año,DAY([0]!Primer_pago)),"")</f>
        <v>46054</v>
      </c>
      <c r="C280" s="53">
        <f t="shared" si="22"/>
        <v>140351.28465635455</v>
      </c>
      <c r="D280" s="53">
        <f t="shared" si="18"/>
        <v>555.5571684314035</v>
      </c>
      <c r="E280" s="53">
        <f t="shared" si="19"/>
        <v>1009.3848410779484</v>
      </c>
      <c r="F280" s="53">
        <f t="shared" si="20"/>
        <v>139341.89981527659</v>
      </c>
      <c r="G280" s="53">
        <f t="shared" si="23"/>
        <v>230577.40219261474</v>
      </c>
    </row>
    <row r="281" spans="1:7" ht="12.75">
      <c r="A281" s="51">
        <f t="shared" si="21"/>
        <v>251</v>
      </c>
      <c r="B281" s="52">
        <f>IF('Tabla de Amortización'!A281&lt;&gt;"",DATE(YEAR([0]!Primer_pago),MONTH([0]!Primer_pago)+('Tabla de Amortización'!A281-1)*12/Pagos_por_año,DAY([0]!Primer_pago)),"")</f>
        <v>46082</v>
      </c>
      <c r="C281" s="53">
        <f t="shared" si="22"/>
        <v>139341.89981527659</v>
      </c>
      <c r="D281" s="53">
        <f t="shared" si="18"/>
        <v>551.5616867688032</v>
      </c>
      <c r="E281" s="53">
        <f t="shared" si="19"/>
        <v>1013.3803227405488</v>
      </c>
      <c r="F281" s="53">
        <f t="shared" si="20"/>
        <v>138328.51949253603</v>
      </c>
      <c r="G281" s="53">
        <f t="shared" si="23"/>
        <v>231128.96387938355</v>
      </c>
    </row>
    <row r="282" spans="1:7" ht="12.75">
      <c r="A282" s="51">
        <f t="shared" si="21"/>
        <v>252</v>
      </c>
      <c r="B282" s="52">
        <f>IF('Tabla de Amortización'!A282&lt;&gt;"",DATE(YEAR([0]!Primer_pago),MONTH([0]!Primer_pago)+('Tabla de Amortización'!A282-1)*12/Pagos_por_año,DAY([0]!Primer_pago)),"")</f>
        <v>46113</v>
      </c>
      <c r="C282" s="53">
        <f t="shared" si="22"/>
        <v>138328.51949253603</v>
      </c>
      <c r="D282" s="53">
        <f t="shared" si="18"/>
        <v>547.5503896579552</v>
      </c>
      <c r="E282" s="53">
        <f t="shared" si="19"/>
        <v>1017.3916198513967</v>
      </c>
      <c r="F282" s="53">
        <f t="shared" si="20"/>
        <v>137311.12787268462</v>
      </c>
      <c r="G282" s="53">
        <f t="shared" si="23"/>
        <v>231676.5142690415</v>
      </c>
    </row>
    <row r="283" spans="1:7" ht="12.75">
      <c r="A283" s="51">
        <f t="shared" si="21"/>
        <v>253</v>
      </c>
      <c r="B283" s="52">
        <f>IF('Tabla de Amortización'!A283&lt;&gt;"",DATE(YEAR([0]!Primer_pago),MONTH([0]!Primer_pago)+('Tabla de Amortización'!A283-1)*12/Pagos_por_año,DAY([0]!Primer_pago)),"")</f>
        <v>46143</v>
      </c>
      <c r="C283" s="53">
        <f t="shared" si="22"/>
        <v>137311.12787268462</v>
      </c>
      <c r="D283" s="53">
        <f t="shared" si="18"/>
        <v>543.5232144960434</v>
      </c>
      <c r="E283" s="53">
        <f t="shared" si="19"/>
        <v>1021.4187950133086</v>
      </c>
      <c r="F283" s="53">
        <f t="shared" si="20"/>
        <v>136289.70907767132</v>
      </c>
      <c r="G283" s="53">
        <f t="shared" si="23"/>
        <v>232220.03748353754</v>
      </c>
    </row>
    <row r="284" spans="1:7" ht="12.75">
      <c r="A284" s="51">
        <f t="shared" si="21"/>
        <v>254</v>
      </c>
      <c r="B284" s="52">
        <f>IF('Tabla de Amortización'!A284&lt;&gt;"",DATE(YEAR([0]!Primer_pago),MONTH([0]!Primer_pago)+('Tabla de Amortización'!A284-1)*12/Pagos_por_año,DAY([0]!Primer_pago)),"")</f>
        <v>46174</v>
      </c>
      <c r="C284" s="53">
        <f t="shared" si="22"/>
        <v>136289.70907767132</v>
      </c>
      <c r="D284" s="53">
        <f t="shared" si="18"/>
        <v>539.480098432449</v>
      </c>
      <c r="E284" s="53">
        <f t="shared" si="19"/>
        <v>1025.4619110769029</v>
      </c>
      <c r="F284" s="53">
        <f t="shared" si="20"/>
        <v>135264.2471665944</v>
      </c>
      <c r="G284" s="53">
        <f t="shared" si="23"/>
        <v>232759.51758197</v>
      </c>
    </row>
    <row r="285" spans="1:7" ht="12.75">
      <c r="A285" s="51">
        <f t="shared" si="21"/>
        <v>255</v>
      </c>
      <c r="B285" s="52">
        <f>IF('Tabla de Amortización'!A285&lt;&gt;"",DATE(YEAR([0]!Primer_pago),MONTH([0]!Primer_pago)+('Tabla de Amortización'!A285-1)*12/Pagos_por_año,DAY([0]!Primer_pago)),"")</f>
        <v>46204</v>
      </c>
      <c r="C285" s="53">
        <f t="shared" si="22"/>
        <v>135264.2471665944</v>
      </c>
      <c r="D285" s="53">
        <f t="shared" si="18"/>
        <v>535.4209783677695</v>
      </c>
      <c r="E285" s="53">
        <f t="shared" si="19"/>
        <v>1029.5210311415824</v>
      </c>
      <c r="F285" s="53">
        <f t="shared" si="20"/>
        <v>134234.72613545283</v>
      </c>
      <c r="G285" s="53">
        <f t="shared" si="23"/>
        <v>233294.93856033776</v>
      </c>
    </row>
    <row r="286" spans="1:7" ht="12.75">
      <c r="A286" s="51">
        <f t="shared" si="21"/>
        <v>256</v>
      </c>
      <c r="B286" s="52">
        <f>IF('Tabla de Amortización'!A286&lt;&gt;"",DATE(YEAR([0]!Primer_pago),MONTH([0]!Primer_pago)+('Tabla de Amortización'!A286-1)*12/Pagos_por_año,DAY([0]!Primer_pago)),"")</f>
        <v>46235</v>
      </c>
      <c r="C286" s="53">
        <f t="shared" si="22"/>
        <v>134234.72613545283</v>
      </c>
      <c r="D286" s="53">
        <f t="shared" si="18"/>
        <v>531.3457909528341</v>
      </c>
      <c r="E286" s="53">
        <f t="shared" si="19"/>
        <v>1033.5962185565177</v>
      </c>
      <c r="F286" s="53">
        <f t="shared" si="20"/>
        <v>133201.12991689632</v>
      </c>
      <c r="G286" s="53">
        <f t="shared" si="23"/>
        <v>233826.28435129058</v>
      </c>
    </row>
    <row r="287" spans="1:7" ht="12.75">
      <c r="A287" s="51">
        <f t="shared" si="21"/>
        <v>257</v>
      </c>
      <c r="B287" s="52">
        <f>IF('Tabla de Amortización'!A287&lt;&gt;"",DATE(YEAR([0]!Primer_pago),MONTH([0]!Primer_pago)+('Tabla de Amortización'!A287-1)*12/Pagos_por_año,DAY([0]!Primer_pago)),"")</f>
        <v>46266</v>
      </c>
      <c r="C287" s="53">
        <f t="shared" si="22"/>
        <v>133201.12991689632</v>
      </c>
      <c r="D287" s="53">
        <f aca="true" t="shared" si="24" ref="D287:D350">Interés</f>
        <v>527.2544725877146</v>
      </c>
      <c r="E287" s="53">
        <f aca="true" t="shared" si="25" ref="E287:E350">Capital</f>
        <v>1037.6875369216373</v>
      </c>
      <c r="F287" s="53">
        <f aca="true" t="shared" si="26" ref="F287:F350">Saldo.Final</f>
        <v>132163.44237997467</v>
      </c>
      <c r="G287" s="53">
        <f t="shared" si="23"/>
        <v>234353.5388238783</v>
      </c>
    </row>
    <row r="288" spans="1:7" ht="12.75">
      <c r="A288" s="51">
        <f aca="true" t="shared" si="27" ref="A288:A351">IF(OR(A287="",A287=Total_Pagos),"",A287+1)</f>
        <v>258</v>
      </c>
      <c r="B288" s="52">
        <f>IF('Tabla de Amortización'!A288&lt;&gt;"",DATE(YEAR([0]!Primer_pago),MONTH([0]!Primer_pago)+('Tabla de Amortización'!A288-1)*12/Pagos_por_año,DAY([0]!Primer_pago)),"")</f>
        <v>46296</v>
      </c>
      <c r="C288" s="53">
        <f aca="true" t="shared" si="28" ref="C288:C351">Saldo.Inicial</f>
        <v>132163.44237997467</v>
      </c>
      <c r="D288" s="53">
        <f t="shared" si="24"/>
        <v>523.1469594207331</v>
      </c>
      <c r="E288" s="53">
        <f t="shared" si="25"/>
        <v>1041.7950500886188</v>
      </c>
      <c r="F288" s="53">
        <f t="shared" si="26"/>
        <v>131121.64732988607</v>
      </c>
      <c r="G288" s="53">
        <f aca="true" t="shared" si="29" ref="G288:G351">Interés.Acum</f>
        <v>234876.68578329904</v>
      </c>
    </row>
    <row r="289" spans="1:7" ht="12.75">
      <c r="A289" s="51">
        <f t="shared" si="27"/>
        <v>259</v>
      </c>
      <c r="B289" s="52">
        <f>IF('Tabla de Amortización'!A289&lt;&gt;"",DATE(YEAR([0]!Primer_pago),MONTH([0]!Primer_pago)+('Tabla de Amortización'!A289-1)*12/Pagos_por_año,DAY([0]!Primer_pago)),"")</f>
        <v>46327</v>
      </c>
      <c r="C289" s="53">
        <f t="shared" si="28"/>
        <v>131121.64732988607</v>
      </c>
      <c r="D289" s="53">
        <f t="shared" si="24"/>
        <v>519.0231873474658</v>
      </c>
      <c r="E289" s="53">
        <f t="shared" si="25"/>
        <v>1045.918822161886</v>
      </c>
      <c r="F289" s="53">
        <f t="shared" si="26"/>
        <v>130075.72850772418</v>
      </c>
      <c r="G289" s="53">
        <f t="shared" si="29"/>
        <v>235395.7089706465</v>
      </c>
    </row>
    <row r="290" spans="1:7" ht="12.75">
      <c r="A290" s="51">
        <f t="shared" si="27"/>
        <v>260</v>
      </c>
      <c r="B290" s="52">
        <f>IF('Tabla de Amortización'!A290&lt;&gt;"",DATE(YEAR([0]!Primer_pago),MONTH([0]!Primer_pago)+('Tabla de Amortización'!A290-1)*12/Pagos_por_año,DAY([0]!Primer_pago)),"")</f>
        <v>46357</v>
      </c>
      <c r="C290" s="53">
        <f t="shared" si="28"/>
        <v>130075.72850772418</v>
      </c>
      <c r="D290" s="53">
        <f t="shared" si="24"/>
        <v>514.8830920097416</v>
      </c>
      <c r="E290" s="53">
        <f t="shared" si="25"/>
        <v>1050.0589174996103</v>
      </c>
      <c r="F290" s="53">
        <f t="shared" si="26"/>
        <v>129025.66959022457</v>
      </c>
      <c r="G290" s="53">
        <f t="shared" si="29"/>
        <v>235910.59206265624</v>
      </c>
    </row>
    <row r="291" spans="1:7" ht="12.75">
      <c r="A291" s="51">
        <f t="shared" si="27"/>
        <v>261</v>
      </c>
      <c r="B291" s="52">
        <f>IF('Tabla de Amortización'!A291&lt;&gt;"",DATE(YEAR([0]!Primer_pago),MONTH([0]!Primer_pago)+('Tabla de Amortización'!A291-1)*12/Pagos_por_año,DAY([0]!Primer_pago)),"")</f>
        <v>46388</v>
      </c>
      <c r="C291" s="53">
        <f t="shared" si="28"/>
        <v>129025.66959022457</v>
      </c>
      <c r="D291" s="53">
        <f t="shared" si="24"/>
        <v>510.726608794639</v>
      </c>
      <c r="E291" s="53">
        <f t="shared" si="25"/>
        <v>1054.2154007147128</v>
      </c>
      <c r="F291" s="53">
        <f t="shared" si="26"/>
        <v>127971.45418950985</v>
      </c>
      <c r="G291" s="53">
        <f t="shared" si="29"/>
        <v>236421.3186714509</v>
      </c>
    </row>
    <row r="292" spans="1:7" ht="12.75">
      <c r="A292" s="51">
        <f t="shared" si="27"/>
        <v>262</v>
      </c>
      <c r="B292" s="52">
        <f>IF('Tabla de Amortización'!A292&lt;&gt;"",DATE(YEAR([0]!Primer_pago),MONTH([0]!Primer_pago)+('Tabla de Amortización'!A292-1)*12/Pagos_por_año,DAY([0]!Primer_pago)),"")</f>
        <v>46419</v>
      </c>
      <c r="C292" s="53">
        <f t="shared" si="28"/>
        <v>127971.45418950985</v>
      </c>
      <c r="D292" s="53">
        <f t="shared" si="24"/>
        <v>506.5536728334765</v>
      </c>
      <c r="E292" s="53">
        <f t="shared" si="25"/>
        <v>1058.3883366758755</v>
      </c>
      <c r="F292" s="53">
        <f t="shared" si="26"/>
        <v>126913.06585283397</v>
      </c>
      <c r="G292" s="53">
        <f t="shared" si="29"/>
        <v>236927.87234428438</v>
      </c>
    </row>
    <row r="293" spans="1:7" ht="12.75">
      <c r="A293" s="51">
        <f t="shared" si="27"/>
        <v>263</v>
      </c>
      <c r="B293" s="52">
        <f>IF('Tabla de Amortización'!A293&lt;&gt;"",DATE(YEAR([0]!Primer_pago),MONTH([0]!Primer_pago)+('Tabla de Amortización'!A293-1)*12/Pagos_por_año,DAY([0]!Primer_pago)),"")</f>
        <v>46447</v>
      </c>
      <c r="C293" s="53">
        <f t="shared" si="28"/>
        <v>126913.06585283397</v>
      </c>
      <c r="D293" s="53">
        <f t="shared" si="24"/>
        <v>502.3642190008012</v>
      </c>
      <c r="E293" s="53">
        <f t="shared" si="25"/>
        <v>1062.5777905085506</v>
      </c>
      <c r="F293" s="53">
        <f t="shared" si="26"/>
        <v>125850.48806232541</v>
      </c>
      <c r="G293" s="53">
        <f t="shared" si="29"/>
        <v>237430.23656328517</v>
      </c>
    </row>
    <row r="294" spans="1:7" ht="12.75">
      <c r="A294" s="51">
        <f t="shared" si="27"/>
        <v>264</v>
      </c>
      <c r="B294" s="52">
        <f>IF('Tabla de Amortización'!A294&lt;&gt;"",DATE(YEAR([0]!Primer_pago),MONTH([0]!Primer_pago)+('Tabla de Amortización'!A294-1)*12/Pagos_por_año,DAY([0]!Primer_pago)),"")</f>
        <v>46478</v>
      </c>
      <c r="C294" s="53">
        <f t="shared" si="28"/>
        <v>125850.48806232541</v>
      </c>
      <c r="D294" s="53">
        <f t="shared" si="24"/>
        <v>498.1581819133715</v>
      </c>
      <c r="E294" s="53">
        <f t="shared" si="25"/>
        <v>1066.7838275959805</v>
      </c>
      <c r="F294" s="53">
        <f t="shared" si="26"/>
        <v>124783.70423472943</v>
      </c>
      <c r="G294" s="53">
        <f t="shared" si="29"/>
        <v>237928.39474519854</v>
      </c>
    </row>
    <row r="295" spans="1:7" ht="12.75">
      <c r="A295" s="51">
        <f t="shared" si="27"/>
        <v>265</v>
      </c>
      <c r="B295" s="52">
        <f>IF('Tabla de Amortización'!A295&lt;&gt;"",DATE(YEAR([0]!Primer_pago),MONTH([0]!Primer_pago)+('Tabla de Amortización'!A295-1)*12/Pagos_por_año,DAY([0]!Primer_pago)),"")</f>
        <v>46508</v>
      </c>
      <c r="C295" s="53">
        <f t="shared" si="28"/>
        <v>124783.70423472943</v>
      </c>
      <c r="D295" s="53">
        <f t="shared" si="24"/>
        <v>493.9354959291374</v>
      </c>
      <c r="E295" s="53">
        <f t="shared" si="25"/>
        <v>1071.0065135802145</v>
      </c>
      <c r="F295" s="53">
        <f t="shared" si="26"/>
        <v>123712.69772114922</v>
      </c>
      <c r="G295" s="53">
        <f t="shared" si="29"/>
        <v>238422.33024112767</v>
      </c>
    </row>
    <row r="296" spans="1:7" ht="12.75">
      <c r="A296" s="51">
        <f t="shared" si="27"/>
        <v>266</v>
      </c>
      <c r="B296" s="52">
        <f>IF('Tabla de Amortización'!A296&lt;&gt;"",DATE(YEAR([0]!Primer_pago),MONTH([0]!Primer_pago)+('Tabla de Amortización'!A296-1)*12/Pagos_por_año,DAY([0]!Primer_pago)),"")</f>
        <v>46539</v>
      </c>
      <c r="C296" s="53">
        <f t="shared" si="28"/>
        <v>123712.69772114922</v>
      </c>
      <c r="D296" s="53">
        <f t="shared" si="24"/>
        <v>489.6960951462157</v>
      </c>
      <c r="E296" s="53">
        <f t="shared" si="25"/>
        <v>1075.2459143631363</v>
      </c>
      <c r="F296" s="53">
        <f t="shared" si="26"/>
        <v>122637.45180678608</v>
      </c>
      <c r="G296" s="53">
        <f t="shared" si="29"/>
        <v>238912.02633627388</v>
      </c>
    </row>
    <row r="297" spans="1:7" ht="12.75">
      <c r="A297" s="51">
        <f t="shared" si="27"/>
        <v>267</v>
      </c>
      <c r="B297" s="52">
        <f>IF('Tabla de Amortización'!A297&lt;&gt;"",DATE(YEAR([0]!Primer_pago),MONTH([0]!Primer_pago)+('Tabla de Amortización'!A297-1)*12/Pagos_por_año,DAY([0]!Primer_pago)),"")</f>
        <v>46569</v>
      </c>
      <c r="C297" s="53">
        <f t="shared" si="28"/>
        <v>122637.45180678608</v>
      </c>
      <c r="D297" s="53">
        <f t="shared" si="24"/>
        <v>485.4399134018616</v>
      </c>
      <c r="E297" s="53">
        <f t="shared" si="25"/>
        <v>1079.5020961074904</v>
      </c>
      <c r="F297" s="53">
        <f t="shared" si="26"/>
        <v>121557.94971067859</v>
      </c>
      <c r="G297" s="53">
        <f t="shared" si="29"/>
        <v>239397.46624967575</v>
      </c>
    </row>
    <row r="298" spans="1:7" ht="12.75">
      <c r="A298" s="51">
        <f t="shared" si="27"/>
        <v>268</v>
      </c>
      <c r="B298" s="52">
        <f>IF('Tabla de Amortización'!A298&lt;&gt;"",DATE(YEAR([0]!Primer_pago),MONTH([0]!Primer_pago)+('Tabla de Amortización'!A298-1)*12/Pagos_por_año,DAY([0]!Primer_pago)),"")</f>
        <v>46600</v>
      </c>
      <c r="C298" s="53">
        <f t="shared" si="28"/>
        <v>121557.94971067859</v>
      </c>
      <c r="D298" s="53">
        <f t="shared" si="24"/>
        <v>481.1668842714361</v>
      </c>
      <c r="E298" s="53">
        <f t="shared" si="25"/>
        <v>1083.7751252379157</v>
      </c>
      <c r="F298" s="53">
        <f t="shared" si="26"/>
        <v>120474.17458544068</v>
      </c>
      <c r="G298" s="53">
        <f t="shared" si="29"/>
        <v>239878.63313394718</v>
      </c>
    </row>
    <row r="299" spans="1:7" ht="12.75">
      <c r="A299" s="51">
        <f t="shared" si="27"/>
        <v>269</v>
      </c>
      <c r="B299" s="52">
        <f>IF('Tabla de Amortización'!A299&lt;&gt;"",DATE(YEAR([0]!Primer_pago),MONTH([0]!Primer_pago)+('Tabla de Amortización'!A299-1)*12/Pagos_por_año,DAY([0]!Primer_pago)),"")</f>
        <v>46631</v>
      </c>
      <c r="C299" s="53">
        <f t="shared" si="28"/>
        <v>120474.17458544068</v>
      </c>
      <c r="D299" s="53">
        <f t="shared" si="24"/>
        <v>476.8769410673694</v>
      </c>
      <c r="E299" s="53">
        <f t="shared" si="25"/>
        <v>1088.0650684419825</v>
      </c>
      <c r="F299" s="53">
        <f t="shared" si="26"/>
        <v>119386.1095169987</v>
      </c>
      <c r="G299" s="53">
        <f t="shared" si="29"/>
        <v>240355.51007501455</v>
      </c>
    </row>
    <row r="300" spans="1:7" ht="12.75">
      <c r="A300" s="51">
        <f t="shared" si="27"/>
        <v>270</v>
      </c>
      <c r="B300" s="52">
        <f>IF('Tabla de Amortización'!A300&lt;&gt;"",DATE(YEAR([0]!Primer_pago),MONTH([0]!Primer_pago)+('Tabla de Amortización'!A300-1)*12/Pagos_por_año,DAY([0]!Primer_pago)),"")</f>
        <v>46661</v>
      </c>
      <c r="C300" s="53">
        <f t="shared" si="28"/>
        <v>119386.1095169987</v>
      </c>
      <c r="D300" s="53">
        <f t="shared" si="24"/>
        <v>472.5700168381199</v>
      </c>
      <c r="E300" s="53">
        <f t="shared" si="25"/>
        <v>1092.371992671232</v>
      </c>
      <c r="F300" s="53">
        <f t="shared" si="26"/>
        <v>118293.73752432746</v>
      </c>
      <c r="G300" s="53">
        <f t="shared" si="29"/>
        <v>240828.08009185267</v>
      </c>
    </row>
    <row r="301" spans="1:7" ht="12.75">
      <c r="A301" s="51">
        <f t="shared" si="27"/>
        <v>271</v>
      </c>
      <c r="B301" s="52">
        <f>IF('Tabla de Amortización'!A301&lt;&gt;"",DATE(YEAR([0]!Primer_pago),MONTH([0]!Primer_pago)+('Tabla de Amortización'!A301-1)*12/Pagos_por_año,DAY([0]!Primer_pago)),"")</f>
        <v>46692</v>
      </c>
      <c r="C301" s="53">
        <f t="shared" si="28"/>
        <v>118293.73752432746</v>
      </c>
      <c r="D301" s="53">
        <f t="shared" si="24"/>
        <v>468.24604436712957</v>
      </c>
      <c r="E301" s="53">
        <f t="shared" si="25"/>
        <v>1096.6959651422223</v>
      </c>
      <c r="F301" s="53">
        <f t="shared" si="26"/>
        <v>117197.04155918524</v>
      </c>
      <c r="G301" s="53">
        <f t="shared" si="29"/>
        <v>241296.32613621978</v>
      </c>
    </row>
    <row r="302" spans="1:7" ht="12.75">
      <c r="A302" s="51">
        <f t="shared" si="27"/>
        <v>272</v>
      </c>
      <c r="B302" s="52">
        <f>IF('Tabla de Amortización'!A302&lt;&gt;"",DATE(YEAR([0]!Primer_pago),MONTH([0]!Primer_pago)+('Tabla de Amortización'!A302-1)*12/Pagos_por_año,DAY([0]!Primer_pago)),"")</f>
        <v>46722</v>
      </c>
      <c r="C302" s="53">
        <f t="shared" si="28"/>
        <v>117197.04155918524</v>
      </c>
      <c r="D302" s="53">
        <f t="shared" si="24"/>
        <v>463.9049561717749</v>
      </c>
      <c r="E302" s="53">
        <f t="shared" si="25"/>
        <v>1101.037053337577</v>
      </c>
      <c r="F302" s="53">
        <f t="shared" si="26"/>
        <v>116096.00450584765</v>
      </c>
      <c r="G302" s="53">
        <f t="shared" si="29"/>
        <v>241760.23109239156</v>
      </c>
    </row>
    <row r="303" spans="1:7" ht="12.75">
      <c r="A303" s="51">
        <f t="shared" si="27"/>
        <v>273</v>
      </c>
      <c r="B303" s="52">
        <f>IF('Tabla de Amortización'!A303&lt;&gt;"",DATE(YEAR([0]!Primer_pago),MONTH([0]!Primer_pago)+('Tabla de Amortización'!A303-1)*12/Pagos_por_año,DAY([0]!Primer_pago)),"")</f>
        <v>46753</v>
      </c>
      <c r="C303" s="53">
        <f t="shared" si="28"/>
        <v>116096.00450584765</v>
      </c>
      <c r="D303" s="53">
        <f t="shared" si="24"/>
        <v>459.54668450231367</v>
      </c>
      <c r="E303" s="53">
        <f t="shared" si="25"/>
        <v>1105.3953250070383</v>
      </c>
      <c r="F303" s="53">
        <f t="shared" si="26"/>
        <v>114990.60918084062</v>
      </c>
      <c r="G303" s="53">
        <f t="shared" si="29"/>
        <v>242219.77777689387</v>
      </c>
    </row>
    <row r="304" spans="1:7" ht="12.75">
      <c r="A304" s="51">
        <f t="shared" si="27"/>
        <v>274</v>
      </c>
      <c r="B304" s="52">
        <f>IF('Tabla de Amortización'!A304&lt;&gt;"",DATE(YEAR([0]!Primer_pago),MONTH([0]!Primer_pago)+('Tabla de Amortización'!A304-1)*12/Pagos_por_año,DAY([0]!Primer_pago)),"")</f>
        <v>46784</v>
      </c>
      <c r="C304" s="53">
        <f t="shared" si="28"/>
        <v>114990.60918084062</v>
      </c>
      <c r="D304" s="53">
        <f t="shared" si="24"/>
        <v>455.1711613408275</v>
      </c>
      <c r="E304" s="53">
        <f t="shared" si="25"/>
        <v>1109.7708481685245</v>
      </c>
      <c r="F304" s="53">
        <f t="shared" si="26"/>
        <v>113880.8383326721</v>
      </c>
      <c r="G304" s="53">
        <f t="shared" si="29"/>
        <v>242674.9489382347</v>
      </c>
    </row>
    <row r="305" spans="1:7" ht="12.75">
      <c r="A305" s="51">
        <f t="shared" si="27"/>
        <v>275</v>
      </c>
      <c r="B305" s="52">
        <f>IF('Tabla de Amortización'!A305&lt;&gt;"",DATE(YEAR([0]!Primer_pago),MONTH([0]!Primer_pago)+('Tabla de Amortización'!A305-1)*12/Pagos_por_año,DAY([0]!Primer_pago)),"")</f>
        <v>46813</v>
      </c>
      <c r="C305" s="53">
        <f t="shared" si="28"/>
        <v>113880.8383326721</v>
      </c>
      <c r="D305" s="53">
        <f t="shared" si="24"/>
        <v>450.7783184001604</v>
      </c>
      <c r="E305" s="53">
        <f t="shared" si="25"/>
        <v>1114.1636911091914</v>
      </c>
      <c r="F305" s="53">
        <f t="shared" si="26"/>
        <v>112766.6746415629</v>
      </c>
      <c r="G305" s="53">
        <f t="shared" si="29"/>
        <v>243125.72725663488</v>
      </c>
    </row>
    <row r="306" spans="1:7" ht="12.75">
      <c r="A306" s="51">
        <f t="shared" si="27"/>
        <v>276</v>
      </c>
      <c r="B306" s="52">
        <f>IF('Tabla de Amortización'!A306&lt;&gt;"",DATE(YEAR([0]!Primer_pago),MONTH([0]!Primer_pago)+('Tabla de Amortización'!A306-1)*12/Pagos_por_año,DAY([0]!Primer_pago)),"")</f>
        <v>46844</v>
      </c>
      <c r="C306" s="53">
        <f t="shared" si="28"/>
        <v>112766.6746415629</v>
      </c>
      <c r="D306" s="53">
        <f t="shared" si="24"/>
        <v>446.3680871228532</v>
      </c>
      <c r="E306" s="53">
        <f t="shared" si="25"/>
        <v>1118.5739223864987</v>
      </c>
      <c r="F306" s="53">
        <f t="shared" si="26"/>
        <v>111648.10071917641</v>
      </c>
      <c r="G306" s="53">
        <f t="shared" si="29"/>
        <v>243572.09534375774</v>
      </c>
    </row>
    <row r="307" spans="1:7" ht="12.75">
      <c r="A307" s="51">
        <f t="shared" si="27"/>
        <v>277</v>
      </c>
      <c r="B307" s="52">
        <f>IF('Tabla de Amortización'!A307&lt;&gt;"",DATE(YEAR([0]!Primer_pago),MONTH([0]!Primer_pago)+('Tabla de Amortización'!A307-1)*12/Pagos_por_año,DAY([0]!Primer_pago)),"")</f>
        <v>46874</v>
      </c>
      <c r="C307" s="53">
        <f t="shared" si="28"/>
        <v>111648.10071917641</v>
      </c>
      <c r="D307" s="53">
        <f t="shared" si="24"/>
        <v>441.9403986800733</v>
      </c>
      <c r="E307" s="53">
        <f t="shared" si="25"/>
        <v>1123.0016108292787</v>
      </c>
      <c r="F307" s="53">
        <f t="shared" si="26"/>
        <v>110525.09910834713</v>
      </c>
      <c r="G307" s="53">
        <f t="shared" si="29"/>
        <v>244014.03574243782</v>
      </c>
    </row>
    <row r="308" spans="1:7" ht="12.75">
      <c r="A308" s="51">
        <f t="shared" si="27"/>
        <v>278</v>
      </c>
      <c r="B308" s="52">
        <f>IF('Tabla de Amortización'!A308&lt;&gt;"",DATE(YEAR([0]!Primer_pago),MONTH([0]!Primer_pago)+('Tabla de Amortización'!A308-1)*12/Pagos_por_año,DAY([0]!Primer_pago)),"")</f>
        <v>46905</v>
      </c>
      <c r="C308" s="53">
        <f t="shared" si="28"/>
        <v>110525.09910834713</v>
      </c>
      <c r="D308" s="53">
        <f t="shared" si="24"/>
        <v>437.4951839705408</v>
      </c>
      <c r="E308" s="53">
        <f t="shared" si="25"/>
        <v>1127.446825538811</v>
      </c>
      <c r="F308" s="53">
        <f t="shared" si="26"/>
        <v>109397.65228280833</v>
      </c>
      <c r="G308" s="53">
        <f t="shared" si="29"/>
        <v>244451.53092640836</v>
      </c>
    </row>
    <row r="309" spans="1:7" ht="12.75">
      <c r="A309" s="51">
        <f t="shared" si="27"/>
        <v>279</v>
      </c>
      <c r="B309" s="52">
        <f>IF('Tabla de Amortización'!A309&lt;&gt;"",DATE(YEAR([0]!Primer_pago),MONTH([0]!Primer_pago)+('Tabla de Amortización'!A309-1)*12/Pagos_por_año,DAY([0]!Primer_pago)),"")</f>
        <v>46935</v>
      </c>
      <c r="C309" s="53">
        <f t="shared" si="28"/>
        <v>109397.65228280833</v>
      </c>
      <c r="D309" s="53">
        <f t="shared" si="24"/>
        <v>433.03237361944963</v>
      </c>
      <c r="E309" s="53">
        <f t="shared" si="25"/>
        <v>1131.9096358899023</v>
      </c>
      <c r="F309" s="53">
        <f t="shared" si="26"/>
        <v>108265.74264691843</v>
      </c>
      <c r="G309" s="53">
        <f t="shared" si="29"/>
        <v>244884.5633000278</v>
      </c>
    </row>
    <row r="310" spans="1:7" ht="12.75">
      <c r="A310" s="51">
        <f t="shared" si="27"/>
        <v>280</v>
      </c>
      <c r="B310" s="52">
        <f>IF('Tabla de Amortización'!A310&lt;&gt;"",DATE(YEAR([0]!Primer_pago),MONTH([0]!Primer_pago)+('Tabla de Amortización'!A310-1)*12/Pagos_por_año,DAY([0]!Primer_pago)),"")</f>
        <v>46966</v>
      </c>
      <c r="C310" s="53">
        <f t="shared" si="28"/>
        <v>108265.74264691843</v>
      </c>
      <c r="D310" s="53">
        <f t="shared" si="24"/>
        <v>428.55189797738547</v>
      </c>
      <c r="E310" s="53">
        <f t="shared" si="25"/>
        <v>1136.3901115319663</v>
      </c>
      <c r="F310" s="53">
        <f t="shared" si="26"/>
        <v>107129.35253538647</v>
      </c>
      <c r="G310" s="53">
        <f t="shared" si="29"/>
        <v>245313.1151980052</v>
      </c>
    </row>
    <row r="311" spans="1:7" ht="12.75">
      <c r="A311" s="51">
        <f t="shared" si="27"/>
        <v>281</v>
      </c>
      <c r="B311" s="52">
        <f>IF('Tabla de Amortización'!A311&lt;&gt;"",DATE(YEAR([0]!Primer_pago),MONTH([0]!Primer_pago)+('Tabla de Amortización'!A311-1)*12/Pagos_por_año,DAY([0]!Primer_pago)),"")</f>
        <v>46997</v>
      </c>
      <c r="C311" s="53">
        <f t="shared" si="28"/>
        <v>107129.35253538647</v>
      </c>
      <c r="D311" s="53">
        <f t="shared" si="24"/>
        <v>424.05368711923813</v>
      </c>
      <c r="E311" s="53">
        <f t="shared" si="25"/>
        <v>1140.888322390114</v>
      </c>
      <c r="F311" s="53">
        <f t="shared" si="26"/>
        <v>105988.46421299636</v>
      </c>
      <c r="G311" s="53">
        <f t="shared" si="29"/>
        <v>245737.16888512444</v>
      </c>
    </row>
    <row r="312" spans="1:7" ht="12.75">
      <c r="A312" s="51">
        <f t="shared" si="27"/>
        <v>282</v>
      </c>
      <c r="B312" s="52">
        <f>IF('Tabla de Amortización'!A312&lt;&gt;"",DATE(YEAR([0]!Primer_pago),MONTH([0]!Primer_pago)+('Tabla de Amortización'!A312-1)*12/Pagos_por_año,DAY([0]!Primer_pago)),"")</f>
        <v>47027</v>
      </c>
      <c r="C312" s="53">
        <f t="shared" si="28"/>
        <v>105988.46421299636</v>
      </c>
      <c r="D312" s="53">
        <f t="shared" si="24"/>
        <v>419.5376708431106</v>
      </c>
      <c r="E312" s="53">
        <f t="shared" si="25"/>
        <v>1145.4043386662413</v>
      </c>
      <c r="F312" s="53">
        <f t="shared" si="26"/>
        <v>104843.05987433012</v>
      </c>
      <c r="G312" s="53">
        <f t="shared" si="29"/>
        <v>246156.70655596754</v>
      </c>
    </row>
    <row r="313" spans="1:7" ht="12.75">
      <c r="A313" s="51">
        <f t="shared" si="27"/>
        <v>283</v>
      </c>
      <c r="B313" s="52">
        <f>IF('Tabla de Amortización'!A313&lt;&gt;"",DATE(YEAR([0]!Primer_pago),MONTH([0]!Primer_pago)+('Tabla de Amortización'!A313-1)*12/Pagos_por_año,DAY([0]!Primer_pago)),"")</f>
        <v>47058</v>
      </c>
      <c r="C313" s="53">
        <f t="shared" si="28"/>
        <v>104843.05987433012</v>
      </c>
      <c r="D313" s="53">
        <f t="shared" si="24"/>
        <v>415.00377866922344</v>
      </c>
      <c r="E313" s="53">
        <f t="shared" si="25"/>
        <v>1149.9382308401284</v>
      </c>
      <c r="F313" s="53">
        <f t="shared" si="26"/>
        <v>103693.12164349</v>
      </c>
      <c r="G313" s="53">
        <f t="shared" si="29"/>
        <v>246571.71033463677</v>
      </c>
    </row>
    <row r="314" spans="1:7" ht="12.75">
      <c r="A314" s="51">
        <f t="shared" si="27"/>
        <v>284</v>
      </c>
      <c r="B314" s="52">
        <f>IF('Tabla de Amortización'!A314&lt;&gt;"",DATE(YEAR([0]!Primer_pago),MONTH([0]!Primer_pago)+('Tabla de Amortización'!A314-1)*12/Pagos_por_año,DAY([0]!Primer_pago)),"")</f>
        <v>47088</v>
      </c>
      <c r="C314" s="53">
        <f t="shared" si="28"/>
        <v>103693.12164349</v>
      </c>
      <c r="D314" s="53">
        <f t="shared" si="24"/>
        <v>410.4519398388146</v>
      </c>
      <c r="E314" s="53">
        <f t="shared" si="25"/>
        <v>1154.4900696705372</v>
      </c>
      <c r="F314" s="53">
        <f t="shared" si="26"/>
        <v>102538.63157381947</v>
      </c>
      <c r="G314" s="53">
        <f t="shared" si="29"/>
        <v>246982.1622744756</v>
      </c>
    </row>
    <row r="315" spans="1:7" ht="12.75">
      <c r="A315" s="51">
        <f t="shared" si="27"/>
        <v>285</v>
      </c>
      <c r="B315" s="52">
        <f>IF('Tabla de Amortización'!A315&lt;&gt;"",DATE(YEAR([0]!Primer_pago),MONTH([0]!Primer_pago)+('Tabla de Amortización'!A315-1)*12/Pagos_por_año,DAY([0]!Primer_pago)),"")</f>
        <v>47119</v>
      </c>
      <c r="C315" s="53">
        <f t="shared" si="28"/>
        <v>102538.63157381947</v>
      </c>
      <c r="D315" s="53">
        <f t="shared" si="24"/>
        <v>405.8820833130354</v>
      </c>
      <c r="E315" s="53">
        <f t="shared" si="25"/>
        <v>1159.0599261963166</v>
      </c>
      <c r="F315" s="53">
        <f t="shared" si="26"/>
        <v>101379.57164762315</v>
      </c>
      <c r="G315" s="53">
        <f t="shared" si="29"/>
        <v>247388.04435778863</v>
      </c>
    </row>
    <row r="316" spans="1:7" ht="12.75">
      <c r="A316" s="51">
        <f t="shared" si="27"/>
        <v>286</v>
      </c>
      <c r="B316" s="52">
        <f>IF('Tabla de Amortización'!A316&lt;&gt;"",DATE(YEAR([0]!Primer_pago),MONTH([0]!Primer_pago)+('Tabla de Amortización'!A316-1)*12/Pagos_por_año,DAY([0]!Primer_pago)),"")</f>
        <v>47150</v>
      </c>
      <c r="C316" s="53">
        <f t="shared" si="28"/>
        <v>101379.57164762315</v>
      </c>
      <c r="D316" s="53">
        <f t="shared" si="24"/>
        <v>401.29413777184163</v>
      </c>
      <c r="E316" s="53">
        <f t="shared" si="25"/>
        <v>1163.6478717375103</v>
      </c>
      <c r="F316" s="53">
        <f t="shared" si="26"/>
        <v>100215.92377588563</v>
      </c>
      <c r="G316" s="53">
        <f t="shared" si="29"/>
        <v>247789.33849556049</v>
      </c>
    </row>
    <row r="317" spans="1:7" ht="12.75">
      <c r="A317" s="51">
        <f t="shared" si="27"/>
        <v>287</v>
      </c>
      <c r="B317" s="52">
        <f>IF('Tabla de Amortización'!A317&lt;&gt;"",DATE(YEAR([0]!Primer_pago),MONTH([0]!Primer_pago)+('Tabla de Amortización'!A317-1)*12/Pagos_por_año,DAY([0]!Primer_pago)),"")</f>
        <v>47178</v>
      </c>
      <c r="C317" s="53">
        <f t="shared" si="28"/>
        <v>100215.92377588563</v>
      </c>
      <c r="D317" s="53">
        <f t="shared" si="24"/>
        <v>396.68803161288065</v>
      </c>
      <c r="E317" s="53">
        <f t="shared" si="25"/>
        <v>1168.2539778964713</v>
      </c>
      <c r="F317" s="53">
        <f t="shared" si="26"/>
        <v>99047.66979798916</v>
      </c>
      <c r="G317" s="53">
        <f t="shared" si="29"/>
        <v>248186.02652717335</v>
      </c>
    </row>
    <row r="318" spans="1:7" ht="12.75">
      <c r="A318" s="51">
        <f t="shared" si="27"/>
        <v>288</v>
      </c>
      <c r="B318" s="52">
        <f>IF('Tabla de Amortización'!A318&lt;&gt;"",DATE(YEAR([0]!Primer_pago),MONTH([0]!Primer_pago)+('Tabla de Amortización'!A318-1)*12/Pagos_por_año,DAY([0]!Primer_pago)),"")</f>
        <v>47209</v>
      </c>
      <c r="C318" s="53">
        <f t="shared" si="28"/>
        <v>99047.66979798916</v>
      </c>
      <c r="D318" s="53">
        <f t="shared" si="24"/>
        <v>392.0636929503738</v>
      </c>
      <c r="E318" s="53">
        <f t="shared" si="25"/>
        <v>1172.878316558978</v>
      </c>
      <c r="F318" s="53">
        <f t="shared" si="26"/>
        <v>97874.79148143018</v>
      </c>
      <c r="G318" s="53">
        <f t="shared" si="29"/>
        <v>248578.09022012373</v>
      </c>
    </row>
    <row r="319" spans="1:7" ht="12.75">
      <c r="A319" s="51">
        <f t="shared" si="27"/>
        <v>289</v>
      </c>
      <c r="B319" s="52">
        <f>IF('Tabla de Amortización'!A319&lt;&gt;"",DATE(YEAR([0]!Primer_pago),MONTH([0]!Primer_pago)+('Tabla de Amortización'!A319-1)*12/Pagos_por_año,DAY([0]!Primer_pago)),"")</f>
        <v>47239</v>
      </c>
      <c r="C319" s="53">
        <f t="shared" si="28"/>
        <v>97874.79148143018</v>
      </c>
      <c r="D319" s="53">
        <f t="shared" si="24"/>
        <v>387.42104961399446</v>
      </c>
      <c r="E319" s="53">
        <f t="shared" si="25"/>
        <v>1177.5209598953575</v>
      </c>
      <c r="F319" s="53">
        <f t="shared" si="26"/>
        <v>96697.27052153483</v>
      </c>
      <c r="G319" s="53">
        <f t="shared" si="29"/>
        <v>248965.51126973773</v>
      </c>
    </row>
    <row r="320" spans="1:7" ht="12.75">
      <c r="A320" s="51">
        <f t="shared" si="27"/>
        <v>290</v>
      </c>
      <c r="B320" s="52">
        <f>IF('Tabla de Amortización'!A320&lt;&gt;"",DATE(YEAR([0]!Primer_pago),MONTH([0]!Primer_pago)+('Tabla de Amortización'!A320-1)*12/Pagos_por_año,DAY([0]!Primer_pago)),"")</f>
        <v>47270</v>
      </c>
      <c r="C320" s="53">
        <f t="shared" si="28"/>
        <v>96697.27052153483</v>
      </c>
      <c r="D320" s="53">
        <f t="shared" si="24"/>
        <v>382.76002914774205</v>
      </c>
      <c r="E320" s="53">
        <f t="shared" si="25"/>
        <v>1182.18198036161</v>
      </c>
      <c r="F320" s="53">
        <f t="shared" si="26"/>
        <v>95515.08854117322</v>
      </c>
      <c r="G320" s="53">
        <f t="shared" si="29"/>
        <v>249348.27129888546</v>
      </c>
    </row>
    <row r="321" spans="1:7" ht="12.75">
      <c r="A321" s="51">
        <f t="shared" si="27"/>
        <v>291</v>
      </c>
      <c r="B321" s="52">
        <f>IF('Tabla de Amortización'!A321&lt;&gt;"",DATE(YEAR([0]!Primer_pago),MONTH([0]!Primer_pago)+('Tabla de Amortización'!A321-1)*12/Pagos_por_año,DAY([0]!Primer_pago)),"")</f>
        <v>47300</v>
      </c>
      <c r="C321" s="53">
        <f t="shared" si="28"/>
        <v>95515.08854117322</v>
      </c>
      <c r="D321" s="53">
        <f t="shared" si="24"/>
        <v>378.0805588088107</v>
      </c>
      <c r="E321" s="53">
        <f t="shared" si="25"/>
        <v>1186.8614507005414</v>
      </c>
      <c r="F321" s="53">
        <f t="shared" si="26"/>
        <v>94328.22709047268</v>
      </c>
      <c r="G321" s="53">
        <f t="shared" si="29"/>
        <v>249726.35185769427</v>
      </c>
    </row>
    <row r="322" spans="1:7" ht="12.75">
      <c r="A322" s="51">
        <f t="shared" si="27"/>
        <v>292</v>
      </c>
      <c r="B322" s="52">
        <f>IF('Tabla de Amortización'!A322&lt;&gt;"",DATE(YEAR([0]!Primer_pago),MONTH([0]!Primer_pago)+('Tabla de Amortización'!A322-1)*12/Pagos_por_año,DAY([0]!Primer_pago)),"")</f>
        <v>47331</v>
      </c>
      <c r="C322" s="53">
        <f t="shared" si="28"/>
        <v>94328.22709047268</v>
      </c>
      <c r="D322" s="53">
        <f t="shared" si="24"/>
        <v>373.3825655664544</v>
      </c>
      <c r="E322" s="53">
        <f t="shared" si="25"/>
        <v>1191.5594439428976</v>
      </c>
      <c r="F322" s="53">
        <f t="shared" si="26"/>
        <v>93136.66764652978</v>
      </c>
      <c r="G322" s="53">
        <f t="shared" si="29"/>
        <v>250099.73442326073</v>
      </c>
    </row>
    <row r="323" spans="1:7" ht="12.75">
      <c r="A323" s="51">
        <f t="shared" si="27"/>
        <v>293</v>
      </c>
      <c r="B323" s="52">
        <f>IF('Tabla de Amortización'!A323&lt;&gt;"",DATE(YEAR([0]!Primer_pago),MONTH([0]!Primer_pago)+('Tabla de Amortización'!A323-1)*12/Pagos_por_año,DAY([0]!Primer_pago)),"")</f>
        <v>47362</v>
      </c>
      <c r="C323" s="53">
        <f t="shared" si="28"/>
        <v>93136.66764652978</v>
      </c>
      <c r="D323" s="53">
        <f t="shared" si="24"/>
        <v>368.66597610084705</v>
      </c>
      <c r="E323" s="53">
        <f t="shared" si="25"/>
        <v>1196.2760334085049</v>
      </c>
      <c r="F323" s="53">
        <f t="shared" si="26"/>
        <v>91940.39161312128</v>
      </c>
      <c r="G323" s="53">
        <f t="shared" si="29"/>
        <v>250468.40039936156</v>
      </c>
    </row>
    <row r="324" spans="1:7" ht="12.75">
      <c r="A324" s="51">
        <f t="shared" si="27"/>
        <v>294</v>
      </c>
      <c r="B324" s="52">
        <f>IF('Tabla de Amortización'!A324&lt;&gt;"",DATE(YEAR([0]!Primer_pago),MONTH([0]!Primer_pago)+('Tabla de Amortización'!A324-1)*12/Pagos_por_año,DAY([0]!Primer_pago)),"")</f>
        <v>47392</v>
      </c>
      <c r="C324" s="53">
        <f t="shared" si="28"/>
        <v>91940.39161312128</v>
      </c>
      <c r="D324" s="53">
        <f t="shared" si="24"/>
        <v>363.9307168019384</v>
      </c>
      <c r="E324" s="53">
        <f t="shared" si="25"/>
        <v>1201.0112927074135</v>
      </c>
      <c r="F324" s="53">
        <f t="shared" si="26"/>
        <v>90739.38032041387</v>
      </c>
      <c r="G324" s="53">
        <f t="shared" si="29"/>
        <v>250832.3311161635</v>
      </c>
    </row>
    <row r="325" spans="1:7" ht="12.75">
      <c r="A325" s="51">
        <f t="shared" si="27"/>
        <v>295</v>
      </c>
      <c r="B325" s="52">
        <f>IF('Tabla de Amortización'!A325&lt;&gt;"",DATE(YEAR([0]!Primer_pago),MONTH([0]!Primer_pago)+('Tabla de Amortización'!A325-1)*12/Pagos_por_año,DAY([0]!Primer_pago)),"")</f>
        <v>47423</v>
      </c>
      <c r="C325" s="53">
        <f t="shared" si="28"/>
        <v>90739.38032041387</v>
      </c>
      <c r="D325" s="53">
        <f t="shared" si="24"/>
        <v>359.1767137683049</v>
      </c>
      <c r="E325" s="53">
        <f t="shared" si="25"/>
        <v>1205.7652957410469</v>
      </c>
      <c r="F325" s="53">
        <f t="shared" si="26"/>
        <v>89533.61502467282</v>
      </c>
      <c r="G325" s="53">
        <f t="shared" si="29"/>
        <v>251191.5078299318</v>
      </c>
    </row>
    <row r="326" spans="1:7" ht="12.75">
      <c r="A326" s="51">
        <f t="shared" si="27"/>
        <v>296</v>
      </c>
      <c r="B326" s="52">
        <f>IF('Tabla de Amortización'!A326&lt;&gt;"",DATE(YEAR([0]!Primer_pago),MONTH([0]!Primer_pago)+('Tabla de Amortización'!A326-1)*12/Pagos_por_año,DAY([0]!Primer_pago)),"")</f>
        <v>47453</v>
      </c>
      <c r="C326" s="53">
        <f t="shared" si="28"/>
        <v>89533.61502467282</v>
      </c>
      <c r="D326" s="53">
        <f t="shared" si="24"/>
        <v>354.40389280599663</v>
      </c>
      <c r="E326" s="53">
        <f t="shared" si="25"/>
        <v>1210.5381167033552</v>
      </c>
      <c r="F326" s="53">
        <f t="shared" si="26"/>
        <v>88323.07690796947</v>
      </c>
      <c r="G326" s="53">
        <f t="shared" si="29"/>
        <v>251545.9117227378</v>
      </c>
    </row>
    <row r="327" spans="1:7" ht="12.75">
      <c r="A327" s="51">
        <f t="shared" si="27"/>
        <v>297</v>
      </c>
      <c r="B327" s="52">
        <f>IF('Tabla de Amortización'!A327&lt;&gt;"",DATE(YEAR([0]!Primer_pago),MONTH([0]!Primer_pago)+('Tabla de Amortización'!A327-1)*12/Pagos_por_año,DAY([0]!Primer_pago)),"")</f>
        <v>47484</v>
      </c>
      <c r="C327" s="53">
        <f t="shared" si="28"/>
        <v>88323.07690796947</v>
      </c>
      <c r="D327" s="53">
        <f t="shared" si="24"/>
        <v>349.6121794273792</v>
      </c>
      <c r="E327" s="53">
        <f t="shared" si="25"/>
        <v>1215.3298300819727</v>
      </c>
      <c r="F327" s="53">
        <f t="shared" si="26"/>
        <v>87107.7470778875</v>
      </c>
      <c r="G327" s="53">
        <f t="shared" si="29"/>
        <v>251895.52390216518</v>
      </c>
    </row>
    <row r="328" spans="1:7" ht="12.75">
      <c r="A328" s="51">
        <f t="shared" si="27"/>
        <v>298</v>
      </c>
      <c r="B328" s="52">
        <f>IF('Tabla de Amortización'!A328&lt;&gt;"",DATE(YEAR([0]!Primer_pago),MONTH([0]!Primer_pago)+('Tabla de Amortización'!A328-1)*12/Pagos_por_año,DAY([0]!Primer_pago)),"")</f>
        <v>47515</v>
      </c>
      <c r="C328" s="53">
        <f t="shared" si="28"/>
        <v>87107.7470778875</v>
      </c>
      <c r="D328" s="53">
        <f t="shared" si="24"/>
        <v>344.8014988499714</v>
      </c>
      <c r="E328" s="53">
        <f t="shared" si="25"/>
        <v>1220.1405106593807</v>
      </c>
      <c r="F328" s="53">
        <f t="shared" si="26"/>
        <v>85887.60656722813</v>
      </c>
      <c r="G328" s="53">
        <f t="shared" si="29"/>
        <v>252240.32540101514</v>
      </c>
    </row>
    <row r="329" spans="1:7" ht="12.75">
      <c r="A329" s="51">
        <f t="shared" si="27"/>
        <v>299</v>
      </c>
      <c r="B329" s="52">
        <f>IF('Tabla de Amortización'!A329&lt;&gt;"",DATE(YEAR([0]!Primer_pago),MONTH([0]!Primer_pago)+('Tabla de Amortización'!A329-1)*12/Pagos_por_año,DAY([0]!Primer_pago)),"")</f>
        <v>47543</v>
      </c>
      <c r="C329" s="53">
        <f t="shared" si="28"/>
        <v>85887.60656722813</v>
      </c>
      <c r="D329" s="53">
        <f t="shared" si="24"/>
        <v>339.97177599527805</v>
      </c>
      <c r="E329" s="53">
        <f t="shared" si="25"/>
        <v>1224.970233514074</v>
      </c>
      <c r="F329" s="53">
        <f t="shared" si="26"/>
        <v>84662.63633371405</v>
      </c>
      <c r="G329" s="53">
        <f t="shared" si="29"/>
        <v>252580.29717701042</v>
      </c>
    </row>
    <row r="330" spans="1:7" ht="12.75">
      <c r="A330" s="51">
        <f t="shared" si="27"/>
        <v>300</v>
      </c>
      <c r="B330" s="52">
        <f>IF('Tabla de Amortización'!A330&lt;&gt;"",DATE(YEAR([0]!Primer_pago),MONTH([0]!Primer_pago)+('Tabla de Amortización'!A330-1)*12/Pagos_por_año,DAY([0]!Primer_pago)),"")</f>
        <v>47574</v>
      </c>
      <c r="C330" s="53">
        <f t="shared" si="28"/>
        <v>84662.63633371405</v>
      </c>
      <c r="D330" s="53">
        <f t="shared" si="24"/>
        <v>335.1229354876181</v>
      </c>
      <c r="E330" s="53">
        <f t="shared" si="25"/>
        <v>1229.8190740217337</v>
      </c>
      <c r="F330" s="53">
        <f t="shared" si="26"/>
        <v>83432.81725969231</v>
      </c>
      <c r="G330" s="53">
        <f t="shared" si="29"/>
        <v>252915.42011249805</v>
      </c>
    </row>
    <row r="331" spans="1:7" ht="12.75">
      <c r="A331" s="51">
        <f t="shared" si="27"/>
        <v>301</v>
      </c>
      <c r="B331" s="52">
        <f>IF('Tabla de Amortización'!A331&lt;&gt;"",DATE(YEAR([0]!Primer_pago),MONTH([0]!Primer_pago)+('Tabla de Amortización'!A331-1)*12/Pagos_por_año,DAY([0]!Primer_pago)),"")</f>
        <v>47604</v>
      </c>
      <c r="C331" s="53">
        <f t="shared" si="28"/>
        <v>83432.81725969231</v>
      </c>
      <c r="D331" s="53">
        <f t="shared" si="24"/>
        <v>330.2549016529488</v>
      </c>
      <c r="E331" s="53">
        <f t="shared" si="25"/>
        <v>1234.6871078564031</v>
      </c>
      <c r="F331" s="53">
        <f t="shared" si="26"/>
        <v>82198.13015183591</v>
      </c>
      <c r="G331" s="53">
        <f t="shared" si="29"/>
        <v>253245.675014151</v>
      </c>
    </row>
    <row r="332" spans="1:7" ht="12.75">
      <c r="A332" s="51">
        <f t="shared" si="27"/>
        <v>302</v>
      </c>
      <c r="B332" s="52">
        <f>IF('Tabla de Amortización'!A332&lt;&gt;"",DATE(YEAR([0]!Primer_pago),MONTH([0]!Primer_pago)+('Tabla de Amortización'!A332-1)*12/Pagos_por_año,DAY([0]!Primer_pago)),"")</f>
        <v>47635</v>
      </c>
      <c r="C332" s="53">
        <f t="shared" si="28"/>
        <v>82198.13015183591</v>
      </c>
      <c r="D332" s="53">
        <f t="shared" si="24"/>
        <v>325.36759851768386</v>
      </c>
      <c r="E332" s="53">
        <f t="shared" si="25"/>
        <v>1239.5744109916682</v>
      </c>
      <c r="F332" s="53">
        <f t="shared" si="26"/>
        <v>80958.55574084424</v>
      </c>
      <c r="G332" s="53">
        <f t="shared" si="29"/>
        <v>253571.04261266868</v>
      </c>
    </row>
    <row r="333" spans="1:7" ht="12.75">
      <c r="A333" s="51">
        <f t="shared" si="27"/>
        <v>303</v>
      </c>
      <c r="B333" s="52">
        <f>IF('Tabla de Amortización'!A333&lt;&gt;"",DATE(YEAR([0]!Primer_pago),MONTH([0]!Primer_pago)+('Tabla de Amortización'!A333-1)*12/Pagos_por_año,DAY([0]!Primer_pago)),"")</f>
        <v>47665</v>
      </c>
      <c r="C333" s="53">
        <f t="shared" si="28"/>
        <v>80958.55574084424</v>
      </c>
      <c r="D333" s="53">
        <f t="shared" si="24"/>
        <v>320.4609498075085</v>
      </c>
      <c r="E333" s="53">
        <f t="shared" si="25"/>
        <v>1244.4810597018434</v>
      </c>
      <c r="F333" s="53">
        <f t="shared" si="26"/>
        <v>79714.0746811424</v>
      </c>
      <c r="G333" s="53">
        <f t="shared" si="29"/>
        <v>253891.5035624762</v>
      </c>
    </row>
    <row r="334" spans="1:7" ht="12.75">
      <c r="A334" s="51">
        <f t="shared" si="27"/>
        <v>304</v>
      </c>
      <c r="B334" s="52">
        <f>IF('Tabla de Amortización'!A334&lt;&gt;"",DATE(YEAR([0]!Primer_pago),MONTH([0]!Primer_pago)+('Tabla de Amortización'!A334-1)*12/Pagos_por_año,DAY([0]!Primer_pago)),"")</f>
        <v>47696</v>
      </c>
      <c r="C334" s="53">
        <f t="shared" si="28"/>
        <v>79714.0746811424</v>
      </c>
      <c r="D334" s="53">
        <f t="shared" si="24"/>
        <v>315.5348789461887</v>
      </c>
      <c r="E334" s="53">
        <f t="shared" si="25"/>
        <v>1249.4071305631633</v>
      </c>
      <c r="F334" s="53">
        <f t="shared" si="26"/>
        <v>78464.66755057924</v>
      </c>
      <c r="G334" s="53">
        <f t="shared" si="29"/>
        <v>254207.0384414224</v>
      </c>
    </row>
    <row r="335" spans="1:7" ht="12.75">
      <c r="A335" s="51">
        <f t="shared" si="27"/>
        <v>305</v>
      </c>
      <c r="B335" s="52">
        <f>IF('Tabla de Amortización'!A335&lt;&gt;"",DATE(YEAR([0]!Primer_pago),MONTH([0]!Primer_pago)+('Tabla de Amortización'!A335-1)*12/Pagos_por_año,DAY([0]!Primer_pago)),"")</f>
        <v>47727</v>
      </c>
      <c r="C335" s="53">
        <f t="shared" si="28"/>
        <v>78464.66755057924</v>
      </c>
      <c r="D335" s="53">
        <f t="shared" si="24"/>
        <v>310.5893090543762</v>
      </c>
      <c r="E335" s="53">
        <f t="shared" si="25"/>
        <v>1254.3527004549758</v>
      </c>
      <c r="F335" s="53">
        <f t="shared" si="26"/>
        <v>77210.31485012427</v>
      </c>
      <c r="G335" s="53">
        <f t="shared" si="29"/>
        <v>254517.62775047676</v>
      </c>
    </row>
    <row r="336" spans="1:7" ht="12.75">
      <c r="A336" s="51">
        <f t="shared" si="27"/>
        <v>306</v>
      </c>
      <c r="B336" s="52">
        <f>IF('Tabla de Amortización'!A336&lt;&gt;"",DATE(YEAR([0]!Primer_pago),MONTH([0]!Primer_pago)+('Tabla de Amortización'!A336-1)*12/Pagos_por_año,DAY([0]!Primer_pago)),"")</f>
        <v>47757</v>
      </c>
      <c r="C336" s="53">
        <f t="shared" si="28"/>
        <v>77210.31485012427</v>
      </c>
      <c r="D336" s="53">
        <f t="shared" si="24"/>
        <v>305.6241629484086</v>
      </c>
      <c r="E336" s="53">
        <f t="shared" si="25"/>
        <v>1259.3178465609433</v>
      </c>
      <c r="F336" s="53">
        <f t="shared" si="26"/>
        <v>75950.99700356333</v>
      </c>
      <c r="G336" s="53">
        <f t="shared" si="29"/>
        <v>254823.25191342516</v>
      </c>
    </row>
    <row r="337" spans="1:7" ht="12.75">
      <c r="A337" s="51">
        <f t="shared" si="27"/>
        <v>307</v>
      </c>
      <c r="B337" s="52">
        <f>IF('Tabla de Amortización'!A337&lt;&gt;"",DATE(YEAR([0]!Primer_pago),MONTH([0]!Primer_pago)+('Tabla de Amortización'!A337-1)*12/Pagos_por_año,DAY([0]!Primer_pago)),"")</f>
        <v>47788</v>
      </c>
      <c r="C337" s="53">
        <f t="shared" si="28"/>
        <v>75950.99700356333</v>
      </c>
      <c r="D337" s="53">
        <f t="shared" si="24"/>
        <v>300.6393631391049</v>
      </c>
      <c r="E337" s="53">
        <f t="shared" si="25"/>
        <v>1264.302646370247</v>
      </c>
      <c r="F337" s="53">
        <f t="shared" si="26"/>
        <v>74686.69435719309</v>
      </c>
      <c r="G337" s="53">
        <f t="shared" si="29"/>
        <v>255123.89127656427</v>
      </c>
    </row>
    <row r="338" spans="1:7" ht="12.75">
      <c r="A338" s="51">
        <f t="shared" si="27"/>
        <v>308</v>
      </c>
      <c r="B338" s="52">
        <f>IF('Tabla de Amortización'!A338&lt;&gt;"",DATE(YEAR([0]!Primer_pago),MONTH([0]!Primer_pago)+('Tabla de Amortización'!A338-1)*12/Pagos_por_año,DAY([0]!Primer_pago)),"")</f>
        <v>47818</v>
      </c>
      <c r="C338" s="53">
        <f t="shared" si="28"/>
        <v>74686.69435719309</v>
      </c>
      <c r="D338" s="53">
        <f t="shared" si="24"/>
        <v>295.634831830556</v>
      </c>
      <c r="E338" s="53">
        <f t="shared" si="25"/>
        <v>1269.307177678796</v>
      </c>
      <c r="F338" s="53">
        <f t="shared" si="26"/>
        <v>73417.38717951429</v>
      </c>
      <c r="G338" s="53">
        <f t="shared" si="29"/>
        <v>255419.52610839484</v>
      </c>
    </row>
    <row r="339" spans="1:7" ht="12.75">
      <c r="A339" s="51">
        <f t="shared" si="27"/>
        <v>309</v>
      </c>
      <c r="B339" s="52">
        <f>IF('Tabla de Amortización'!A339&lt;&gt;"",DATE(YEAR([0]!Primer_pago),MONTH([0]!Primer_pago)+('Tabla de Amortización'!A339-1)*12/Pagos_por_año,DAY([0]!Primer_pago)),"")</f>
        <v>47849</v>
      </c>
      <c r="C339" s="53">
        <f t="shared" si="28"/>
        <v>73417.38717951429</v>
      </c>
      <c r="D339" s="53">
        <f t="shared" si="24"/>
        <v>290.6104909189108</v>
      </c>
      <c r="E339" s="53">
        <f t="shared" si="25"/>
        <v>1274.3315185904412</v>
      </c>
      <c r="F339" s="53">
        <f t="shared" si="26"/>
        <v>72143.05566092386</v>
      </c>
      <c r="G339" s="53">
        <f t="shared" si="29"/>
        <v>255710.13659931376</v>
      </c>
    </row>
    <row r="340" spans="1:7" ht="12.75">
      <c r="A340" s="51">
        <f t="shared" si="27"/>
        <v>310</v>
      </c>
      <c r="B340" s="52">
        <f>IF('Tabla de Amortización'!A340&lt;&gt;"",DATE(YEAR([0]!Primer_pago),MONTH([0]!Primer_pago)+('Tabla de Amortización'!A340-1)*12/Pagos_por_año,DAY([0]!Primer_pago)),"")</f>
        <v>47880</v>
      </c>
      <c r="C340" s="53">
        <f t="shared" si="28"/>
        <v>72143.05566092386</v>
      </c>
      <c r="D340" s="53">
        <f t="shared" si="24"/>
        <v>285.566261991157</v>
      </c>
      <c r="E340" s="53">
        <f t="shared" si="25"/>
        <v>1279.3757475181949</v>
      </c>
      <c r="F340" s="53">
        <f t="shared" si="26"/>
        <v>70863.67991340566</v>
      </c>
      <c r="G340" s="53">
        <f t="shared" si="29"/>
        <v>255995.70286130492</v>
      </c>
    </row>
    <row r="341" spans="1:7" ht="12.75">
      <c r="A341" s="51">
        <f t="shared" si="27"/>
        <v>311</v>
      </c>
      <c r="B341" s="52">
        <f>IF('Tabla de Amortización'!A341&lt;&gt;"",DATE(YEAR([0]!Primer_pago),MONTH([0]!Primer_pago)+('Tabla de Amortización'!A341-1)*12/Pagos_por_año,DAY([0]!Primer_pago)),"")</f>
        <v>47908</v>
      </c>
      <c r="C341" s="53">
        <f t="shared" si="28"/>
        <v>70863.67991340566</v>
      </c>
      <c r="D341" s="53">
        <f t="shared" si="24"/>
        <v>280.50206632389745</v>
      </c>
      <c r="E341" s="53">
        <f t="shared" si="25"/>
        <v>1284.4399431854545</v>
      </c>
      <c r="F341" s="53">
        <f t="shared" si="26"/>
        <v>69579.23997022021</v>
      </c>
      <c r="G341" s="53">
        <f t="shared" si="29"/>
        <v>256276.2049276288</v>
      </c>
    </row>
    <row r="342" spans="1:7" ht="12.75">
      <c r="A342" s="51">
        <f t="shared" si="27"/>
        <v>312</v>
      </c>
      <c r="B342" s="52">
        <f>IF('Tabla de Amortización'!A342&lt;&gt;"",DATE(YEAR([0]!Primer_pago),MONTH([0]!Primer_pago)+('Tabla de Amortización'!A342-1)*12/Pagos_por_año,DAY([0]!Primer_pago)),"")</f>
        <v>47939</v>
      </c>
      <c r="C342" s="53">
        <f t="shared" si="28"/>
        <v>69579.23997022021</v>
      </c>
      <c r="D342" s="53">
        <f t="shared" si="24"/>
        <v>275.4178248821217</v>
      </c>
      <c r="E342" s="53">
        <f t="shared" si="25"/>
        <v>1289.5241846272302</v>
      </c>
      <c r="F342" s="53">
        <f t="shared" si="26"/>
        <v>68289.71578559298</v>
      </c>
      <c r="G342" s="53">
        <f t="shared" si="29"/>
        <v>256551.6227525109</v>
      </c>
    </row>
    <row r="343" spans="1:7" ht="12.75">
      <c r="A343" s="51">
        <f t="shared" si="27"/>
        <v>313</v>
      </c>
      <c r="B343" s="52">
        <f>IF('Tabla de Amortización'!A343&lt;&gt;"",DATE(YEAR([0]!Primer_pago),MONTH([0]!Primer_pago)+('Tabla de Amortización'!A343-1)*12/Pagos_por_año,DAY([0]!Primer_pago)),"")</f>
        <v>47969</v>
      </c>
      <c r="C343" s="53">
        <f t="shared" si="28"/>
        <v>68289.71578559298</v>
      </c>
      <c r="D343" s="53">
        <f t="shared" si="24"/>
        <v>270.3134583179723</v>
      </c>
      <c r="E343" s="53">
        <f t="shared" si="25"/>
        <v>1294.6285511913798</v>
      </c>
      <c r="F343" s="53">
        <f t="shared" si="26"/>
        <v>66995.08723440161</v>
      </c>
      <c r="G343" s="53">
        <f t="shared" si="29"/>
        <v>256821.9362108289</v>
      </c>
    </row>
    <row r="344" spans="1:7" ht="12.75">
      <c r="A344" s="51">
        <f t="shared" si="27"/>
        <v>314</v>
      </c>
      <c r="B344" s="52">
        <f>IF('Tabla de Amortización'!A344&lt;&gt;"",DATE(YEAR([0]!Primer_pago),MONTH([0]!Primer_pago)+('Tabla de Amortización'!A344-1)*12/Pagos_por_año,DAY([0]!Primer_pago)),"")</f>
        <v>48000</v>
      </c>
      <c r="C344" s="53">
        <f t="shared" si="28"/>
        <v>66995.08723440161</v>
      </c>
      <c r="D344" s="53">
        <f t="shared" si="24"/>
        <v>265.18888696950637</v>
      </c>
      <c r="E344" s="53">
        <f t="shared" si="25"/>
        <v>1299.7531225398457</v>
      </c>
      <c r="F344" s="53">
        <f t="shared" si="26"/>
        <v>65695.33411186177</v>
      </c>
      <c r="G344" s="53">
        <f t="shared" si="29"/>
        <v>257087.1250977984</v>
      </c>
    </row>
    <row r="345" spans="1:7" ht="12.75">
      <c r="A345" s="51">
        <f t="shared" si="27"/>
        <v>315</v>
      </c>
      <c r="B345" s="52">
        <f>IF('Tabla de Amortización'!A345&lt;&gt;"",DATE(YEAR([0]!Primer_pago),MONTH([0]!Primer_pago)+('Tabla de Amortización'!A345-1)*12/Pagos_por_año,DAY([0]!Primer_pago)),"")</f>
        <v>48030</v>
      </c>
      <c r="C345" s="53">
        <f t="shared" si="28"/>
        <v>65695.33411186177</v>
      </c>
      <c r="D345" s="53">
        <f t="shared" si="24"/>
        <v>260.04403085945285</v>
      </c>
      <c r="E345" s="53">
        <f t="shared" si="25"/>
        <v>1304.897978649899</v>
      </c>
      <c r="F345" s="53">
        <f t="shared" si="26"/>
        <v>64390.43613321187</v>
      </c>
      <c r="G345" s="53">
        <f t="shared" si="29"/>
        <v>257347.16912865784</v>
      </c>
    </row>
    <row r="346" spans="1:7" ht="12.75">
      <c r="A346" s="51">
        <f t="shared" si="27"/>
        <v>316</v>
      </c>
      <c r="B346" s="52">
        <f>IF('Tabla de Amortización'!A346&lt;&gt;"",DATE(YEAR([0]!Primer_pago),MONTH([0]!Primer_pago)+('Tabla de Amortización'!A346-1)*12/Pagos_por_año,DAY([0]!Primer_pago)),"")</f>
        <v>48061</v>
      </c>
      <c r="C346" s="53">
        <f t="shared" si="28"/>
        <v>64390.43613321187</v>
      </c>
      <c r="D346" s="53">
        <f t="shared" si="24"/>
        <v>254.8788096939637</v>
      </c>
      <c r="E346" s="53">
        <f t="shared" si="25"/>
        <v>1310.0631998153883</v>
      </c>
      <c r="F346" s="53">
        <f t="shared" si="26"/>
        <v>63080.37293339648</v>
      </c>
      <c r="G346" s="53">
        <f t="shared" si="29"/>
        <v>257602.0479383518</v>
      </c>
    </row>
    <row r="347" spans="1:7" ht="12.75">
      <c r="A347" s="51">
        <f t="shared" si="27"/>
        <v>317</v>
      </c>
      <c r="B347" s="52">
        <f>IF('Tabla de Amortización'!A347&lt;&gt;"",DATE(YEAR([0]!Primer_pago),MONTH([0]!Primer_pago)+('Tabla de Amortización'!A347-1)*12/Pagos_por_año,DAY([0]!Primer_pago)),"")</f>
        <v>48092</v>
      </c>
      <c r="C347" s="53">
        <f t="shared" si="28"/>
        <v>63080.37293339648</v>
      </c>
      <c r="D347" s="53">
        <f t="shared" si="24"/>
        <v>249.69314286136108</v>
      </c>
      <c r="E347" s="53">
        <f t="shared" si="25"/>
        <v>1315.2488666479908</v>
      </c>
      <c r="F347" s="53">
        <f t="shared" si="26"/>
        <v>61765.12406674849</v>
      </c>
      <c r="G347" s="53">
        <f t="shared" si="29"/>
        <v>257851.74108121317</v>
      </c>
    </row>
    <row r="348" spans="1:7" ht="12.75">
      <c r="A348" s="51">
        <f t="shared" si="27"/>
        <v>318</v>
      </c>
      <c r="B348" s="52">
        <f>IF('Tabla de Amortización'!A348&lt;&gt;"",DATE(YEAR([0]!Primer_pago),MONTH([0]!Primer_pago)+('Tabla de Amortización'!A348-1)*12/Pagos_por_año,DAY([0]!Primer_pago)),"")</f>
        <v>48122</v>
      </c>
      <c r="C348" s="53">
        <f t="shared" si="28"/>
        <v>61765.12406674849</v>
      </c>
      <c r="D348" s="53">
        <f t="shared" si="24"/>
        <v>244.48694943087946</v>
      </c>
      <c r="E348" s="53">
        <f t="shared" si="25"/>
        <v>1320.4550600784723</v>
      </c>
      <c r="F348" s="53">
        <f t="shared" si="26"/>
        <v>60444.66900667002</v>
      </c>
      <c r="G348" s="53">
        <f t="shared" si="29"/>
        <v>258096.22803064404</v>
      </c>
    </row>
    <row r="349" spans="1:7" ht="12.75">
      <c r="A349" s="51">
        <f t="shared" si="27"/>
        <v>319</v>
      </c>
      <c r="B349" s="52">
        <f>IF('Tabla de Amortización'!A349&lt;&gt;"",DATE(YEAR([0]!Primer_pago),MONTH([0]!Primer_pago)+('Tabla de Amortización'!A349-1)*12/Pagos_por_año,DAY([0]!Primer_pago)),"")</f>
        <v>48153</v>
      </c>
      <c r="C349" s="53">
        <f t="shared" si="28"/>
        <v>60444.66900667002</v>
      </c>
      <c r="D349" s="53">
        <f t="shared" si="24"/>
        <v>239.26014815140218</v>
      </c>
      <c r="E349" s="53">
        <f t="shared" si="25"/>
        <v>1325.6818613579499</v>
      </c>
      <c r="F349" s="53">
        <f t="shared" si="26"/>
        <v>59118.987145312065</v>
      </c>
      <c r="G349" s="53">
        <f t="shared" si="29"/>
        <v>258335.48817879544</v>
      </c>
    </row>
    <row r="350" spans="1:7" ht="12.75">
      <c r="A350" s="51">
        <f t="shared" si="27"/>
        <v>320</v>
      </c>
      <c r="B350" s="52">
        <f>IF('Tabla de Amortización'!A350&lt;&gt;"",DATE(YEAR([0]!Primer_pago),MONTH([0]!Primer_pago)+('Tabla de Amortización'!A350-1)*12/Pagos_por_año,DAY([0]!Primer_pago)),"")</f>
        <v>48183</v>
      </c>
      <c r="C350" s="53">
        <f t="shared" si="28"/>
        <v>59118.987145312065</v>
      </c>
      <c r="D350" s="53">
        <f t="shared" si="24"/>
        <v>234.01265745019361</v>
      </c>
      <c r="E350" s="53">
        <f t="shared" si="25"/>
        <v>1330.9293520591582</v>
      </c>
      <c r="F350" s="53">
        <f t="shared" si="26"/>
        <v>57788.057793252905</v>
      </c>
      <c r="G350" s="53">
        <f t="shared" si="29"/>
        <v>258569.50083624563</v>
      </c>
    </row>
    <row r="351" spans="1:7" ht="12.75">
      <c r="A351" s="51">
        <f t="shared" si="27"/>
        <v>321</v>
      </c>
      <c r="B351" s="52">
        <f>IF('Tabla de Amortización'!A351&lt;&gt;"",DATE(YEAR([0]!Primer_pago),MONTH([0]!Primer_pago)+('Tabla de Amortización'!A351-1)*12/Pagos_por_año,DAY([0]!Primer_pago)),"")</f>
        <v>48214</v>
      </c>
      <c r="C351" s="53">
        <f t="shared" si="28"/>
        <v>57788.057793252905</v>
      </c>
      <c r="D351" s="53">
        <f aca="true" t="shared" si="30" ref="D351:D390">Interés</f>
        <v>228.7443954316261</v>
      </c>
      <c r="E351" s="53">
        <f aca="true" t="shared" si="31" ref="E351:E390">Capital</f>
        <v>1336.1976140777258</v>
      </c>
      <c r="F351" s="53">
        <f aca="true" t="shared" si="32" ref="F351:F390">Saldo.Final</f>
        <v>56451.86017917518</v>
      </c>
      <c r="G351" s="53">
        <f t="shared" si="29"/>
        <v>258798.24523167725</v>
      </c>
    </row>
    <row r="352" spans="1:7" ht="12.75">
      <c r="A352" s="51">
        <f aca="true" t="shared" si="33" ref="A352:A390">IF(OR(A351="",A351=Total_Pagos),"",A351+1)</f>
        <v>322</v>
      </c>
      <c r="B352" s="52">
        <f>IF('Tabla de Amortización'!A352&lt;&gt;"",DATE(YEAR([0]!Primer_pago),MONTH([0]!Primer_pago)+('Tabla de Amortización'!A352-1)*12/Pagos_por_año,DAY([0]!Primer_pago)),"")</f>
        <v>48245</v>
      </c>
      <c r="C352" s="53">
        <f aca="true" t="shared" si="34" ref="C352:C390">Saldo.Inicial</f>
        <v>56451.86017917518</v>
      </c>
      <c r="D352" s="53">
        <f t="shared" si="30"/>
        <v>223.45527987590177</v>
      </c>
      <c r="E352" s="53">
        <f t="shared" si="31"/>
        <v>1341.48672963345</v>
      </c>
      <c r="F352" s="53">
        <f t="shared" si="32"/>
        <v>55110.37344954173</v>
      </c>
      <c r="G352" s="53">
        <f aca="true" t="shared" si="35" ref="G352:G390">Interés.Acum</f>
        <v>259021.70051155315</v>
      </c>
    </row>
    <row r="353" spans="1:7" ht="12.75">
      <c r="A353" s="51">
        <f t="shared" si="33"/>
        <v>323</v>
      </c>
      <c r="B353" s="52">
        <f>IF('Tabla de Amortización'!A353&lt;&gt;"",DATE(YEAR([0]!Primer_pago),MONTH([0]!Primer_pago)+('Tabla de Amortización'!A353-1)*12/Pagos_por_año,DAY([0]!Primer_pago)),"")</f>
        <v>48274</v>
      </c>
      <c r="C353" s="53">
        <f t="shared" si="34"/>
        <v>55110.37344954173</v>
      </c>
      <c r="D353" s="53">
        <f t="shared" si="30"/>
        <v>218.14522823776937</v>
      </c>
      <c r="E353" s="53">
        <f t="shared" si="31"/>
        <v>1346.7967812715826</v>
      </c>
      <c r="F353" s="53">
        <f t="shared" si="32"/>
        <v>53763.57666827015</v>
      </c>
      <c r="G353" s="53">
        <f t="shared" si="35"/>
        <v>259239.8457397909</v>
      </c>
    </row>
    <row r="354" spans="1:7" ht="12.75">
      <c r="A354" s="51">
        <f t="shared" si="33"/>
        <v>324</v>
      </c>
      <c r="B354" s="52">
        <f>IF('Tabla de Amortización'!A354&lt;&gt;"",DATE(YEAR([0]!Primer_pago),MONTH([0]!Primer_pago)+('Tabla de Amortización'!A354-1)*12/Pagos_por_año,DAY([0]!Primer_pago)),"")</f>
        <v>48305</v>
      </c>
      <c r="C354" s="53">
        <f t="shared" si="34"/>
        <v>53763.57666827015</v>
      </c>
      <c r="D354" s="53">
        <f t="shared" si="30"/>
        <v>212.81415764523604</v>
      </c>
      <c r="E354" s="53">
        <f t="shared" si="31"/>
        <v>1352.1278518641159</v>
      </c>
      <c r="F354" s="53">
        <f t="shared" si="32"/>
        <v>52411.44881640603</v>
      </c>
      <c r="G354" s="53">
        <f t="shared" si="35"/>
        <v>259452.65989743616</v>
      </c>
    </row>
    <row r="355" spans="1:7" ht="12.75">
      <c r="A355" s="51">
        <f t="shared" si="33"/>
        <v>325</v>
      </c>
      <c r="B355" s="52">
        <f>IF('Tabla de Amortización'!A355&lt;&gt;"",DATE(YEAR([0]!Primer_pago),MONTH([0]!Primer_pago)+('Tabla de Amortización'!A355-1)*12/Pagos_por_año,DAY([0]!Primer_pago)),"")</f>
        <v>48335</v>
      </c>
      <c r="C355" s="53">
        <f t="shared" si="34"/>
        <v>52411.44881640603</v>
      </c>
      <c r="D355" s="53">
        <f t="shared" si="30"/>
        <v>207.4619848982739</v>
      </c>
      <c r="E355" s="53">
        <f t="shared" si="31"/>
        <v>1357.480024611078</v>
      </c>
      <c r="F355" s="53">
        <f t="shared" si="32"/>
        <v>51053.968791794956</v>
      </c>
      <c r="G355" s="53">
        <f t="shared" si="35"/>
        <v>259660.12188233444</v>
      </c>
    </row>
    <row r="356" spans="1:7" ht="12.75">
      <c r="A356" s="51">
        <f t="shared" si="33"/>
        <v>326</v>
      </c>
      <c r="B356" s="52">
        <f>IF('Tabla de Amortización'!A356&lt;&gt;"",DATE(YEAR([0]!Primer_pago),MONTH([0]!Primer_pago)+('Tabla de Amortización'!A356-1)*12/Pagos_por_año,DAY([0]!Primer_pago)),"")</f>
        <v>48366</v>
      </c>
      <c r="C356" s="53">
        <f t="shared" si="34"/>
        <v>51053.968791794956</v>
      </c>
      <c r="D356" s="53">
        <f t="shared" si="30"/>
        <v>202.08862646752172</v>
      </c>
      <c r="E356" s="53">
        <f t="shared" si="31"/>
        <v>1362.8533830418303</v>
      </c>
      <c r="F356" s="53">
        <f t="shared" si="32"/>
        <v>49691.115408753125</v>
      </c>
      <c r="G356" s="53">
        <f t="shared" si="35"/>
        <v>259862.21050880197</v>
      </c>
    </row>
    <row r="357" spans="1:7" ht="12.75">
      <c r="A357" s="51">
        <f t="shared" si="33"/>
        <v>327</v>
      </c>
      <c r="B357" s="52">
        <f>IF('Tabla de Amortización'!A357&lt;&gt;"",DATE(YEAR([0]!Primer_pago),MONTH([0]!Primer_pago)+('Tabla de Amortización'!A357-1)*12/Pagos_por_año,DAY([0]!Primer_pago)),"")</f>
        <v>48396</v>
      </c>
      <c r="C357" s="53">
        <f t="shared" si="34"/>
        <v>49691.115408753125</v>
      </c>
      <c r="D357" s="53">
        <f t="shared" si="30"/>
        <v>196.69399849298114</v>
      </c>
      <c r="E357" s="53">
        <f t="shared" si="31"/>
        <v>1368.2480110163708</v>
      </c>
      <c r="F357" s="53">
        <f t="shared" si="32"/>
        <v>48322.86739773675</v>
      </c>
      <c r="G357" s="53">
        <f t="shared" si="35"/>
        <v>260058.90450729497</v>
      </c>
    </row>
    <row r="358" spans="1:7" ht="12.75">
      <c r="A358" s="51">
        <f t="shared" si="33"/>
        <v>328</v>
      </c>
      <c r="B358" s="52">
        <f>IF('Tabla de Amortización'!A358&lt;&gt;"",DATE(YEAR([0]!Primer_pago),MONTH([0]!Primer_pago)+('Tabla de Amortización'!A358-1)*12/Pagos_por_año,DAY([0]!Primer_pago)),"")</f>
        <v>48427</v>
      </c>
      <c r="C358" s="53">
        <f t="shared" si="34"/>
        <v>48322.86739773675</v>
      </c>
      <c r="D358" s="53">
        <f t="shared" si="30"/>
        <v>191.278016782708</v>
      </c>
      <c r="E358" s="53">
        <f t="shared" si="31"/>
        <v>1373.663992726644</v>
      </c>
      <c r="F358" s="53">
        <f t="shared" si="32"/>
        <v>46949.20340501011</v>
      </c>
      <c r="G358" s="53">
        <f t="shared" si="35"/>
        <v>260250.18252407768</v>
      </c>
    </row>
    <row r="359" spans="1:7" ht="12.75">
      <c r="A359" s="51">
        <f t="shared" si="33"/>
        <v>329</v>
      </c>
      <c r="B359" s="52">
        <f>IF('Tabla de Amortización'!A359&lt;&gt;"",DATE(YEAR([0]!Primer_pago),MONTH([0]!Primer_pago)+('Tabla de Amortización'!A359-1)*12/Pagos_por_año,DAY([0]!Primer_pago)),"")</f>
        <v>48458</v>
      </c>
      <c r="C359" s="53">
        <f t="shared" si="34"/>
        <v>46949.20340501011</v>
      </c>
      <c r="D359" s="53">
        <f t="shared" si="30"/>
        <v>185.84059681149836</v>
      </c>
      <c r="E359" s="53">
        <f t="shared" si="31"/>
        <v>1379.1014126978534</v>
      </c>
      <c r="F359" s="53">
        <f t="shared" si="32"/>
        <v>45570.10199231225</v>
      </c>
      <c r="G359" s="53">
        <f t="shared" si="35"/>
        <v>260436.02312088918</v>
      </c>
    </row>
    <row r="360" spans="1:7" ht="12.75">
      <c r="A360" s="51">
        <f t="shared" si="33"/>
        <v>330</v>
      </c>
      <c r="B360" s="52">
        <f>IF('Tabla de Amortización'!A360&lt;&gt;"",DATE(YEAR([0]!Primer_pago),MONTH([0]!Primer_pago)+('Tabla de Amortización'!A360-1)*12/Pagos_por_año,DAY([0]!Primer_pago)),"")</f>
        <v>48488</v>
      </c>
      <c r="C360" s="53">
        <f t="shared" si="34"/>
        <v>45570.10199231225</v>
      </c>
      <c r="D360" s="53">
        <f t="shared" si="30"/>
        <v>180.38165371956936</v>
      </c>
      <c r="E360" s="53">
        <f t="shared" si="31"/>
        <v>1384.5603557897825</v>
      </c>
      <c r="F360" s="53">
        <f t="shared" si="32"/>
        <v>44185.54163652247</v>
      </c>
      <c r="G360" s="53">
        <f t="shared" si="35"/>
        <v>260616.40477460876</v>
      </c>
    </row>
    <row r="361" spans="1:7" ht="12.75">
      <c r="A361" s="51">
        <f t="shared" si="33"/>
        <v>331</v>
      </c>
      <c r="B361" s="52">
        <f>IF('Tabla de Amortización'!A361&lt;&gt;"",DATE(YEAR([0]!Primer_pago),MONTH([0]!Primer_pago)+('Tabla de Amortización'!A361-1)*12/Pagos_por_año,DAY([0]!Primer_pago)),"")</f>
        <v>48519</v>
      </c>
      <c r="C361" s="53">
        <f t="shared" si="34"/>
        <v>44185.54163652247</v>
      </c>
      <c r="D361" s="53">
        <f t="shared" si="30"/>
        <v>174.90110231123478</v>
      </c>
      <c r="E361" s="53">
        <f t="shared" si="31"/>
        <v>1390.040907198117</v>
      </c>
      <c r="F361" s="53">
        <f t="shared" si="32"/>
        <v>42795.50072932435</v>
      </c>
      <c r="G361" s="53">
        <f t="shared" si="35"/>
        <v>260791.30587692</v>
      </c>
    </row>
    <row r="362" spans="1:7" ht="12.75">
      <c r="A362" s="51">
        <f t="shared" si="33"/>
        <v>332</v>
      </c>
      <c r="B362" s="52">
        <f>IF('Tabla de Amortización'!A362&lt;&gt;"",DATE(YEAR([0]!Primer_pago),MONTH([0]!Primer_pago)+('Tabla de Amortización'!A362-1)*12/Pagos_por_año,DAY([0]!Primer_pago)),"")</f>
        <v>48549</v>
      </c>
      <c r="C362" s="53">
        <f t="shared" si="34"/>
        <v>42795.50072932435</v>
      </c>
      <c r="D362" s="53">
        <f t="shared" si="30"/>
        <v>169.39885705357557</v>
      </c>
      <c r="E362" s="53">
        <f t="shared" si="31"/>
        <v>1395.5431524557764</v>
      </c>
      <c r="F362" s="53">
        <f t="shared" si="32"/>
        <v>41399.95757686857</v>
      </c>
      <c r="G362" s="53">
        <f t="shared" si="35"/>
        <v>260960.70473397357</v>
      </c>
    </row>
    <row r="363" spans="1:7" ht="12.75">
      <c r="A363" s="51">
        <f t="shared" si="33"/>
        <v>333</v>
      </c>
      <c r="B363" s="52">
        <f>IF('Tabla de Amortización'!A363&lt;&gt;"",DATE(YEAR([0]!Primer_pago),MONTH([0]!Primer_pago)+('Tabla de Amortización'!A363-1)*12/Pagos_por_año,DAY([0]!Primer_pago)),"")</f>
        <v>48580</v>
      </c>
      <c r="C363" s="53">
        <f t="shared" si="34"/>
        <v>41399.95757686857</v>
      </c>
      <c r="D363" s="53">
        <f t="shared" si="30"/>
        <v>163.87483207510476</v>
      </c>
      <c r="E363" s="53">
        <f t="shared" si="31"/>
        <v>1401.0671774342472</v>
      </c>
      <c r="F363" s="53">
        <f t="shared" si="32"/>
        <v>39998.89039943432</v>
      </c>
      <c r="G363" s="53">
        <f t="shared" si="35"/>
        <v>261124.5795660487</v>
      </c>
    </row>
    <row r="364" spans="1:7" ht="12.75">
      <c r="A364" s="51">
        <f t="shared" si="33"/>
        <v>334</v>
      </c>
      <c r="B364" s="52">
        <f>IF('Tabla de Amortización'!A364&lt;&gt;"",DATE(YEAR([0]!Primer_pago),MONTH([0]!Primer_pago)+('Tabla de Amortización'!A364-1)*12/Pagos_por_año,DAY([0]!Primer_pago)),"")</f>
        <v>48611</v>
      </c>
      <c r="C364" s="53">
        <f t="shared" si="34"/>
        <v>39998.89039943432</v>
      </c>
      <c r="D364" s="53">
        <f t="shared" si="30"/>
        <v>158.32894116442753</v>
      </c>
      <c r="E364" s="53">
        <f t="shared" si="31"/>
        <v>1406.6130683449244</v>
      </c>
      <c r="F364" s="53">
        <f t="shared" si="32"/>
        <v>38592.2773310894</v>
      </c>
      <c r="G364" s="53">
        <f t="shared" si="35"/>
        <v>261282.9085072131</v>
      </c>
    </row>
    <row r="365" spans="1:7" ht="12.75">
      <c r="A365" s="51">
        <f t="shared" si="33"/>
        <v>335</v>
      </c>
      <c r="B365" s="52">
        <f>IF('Tabla de Amortización'!A365&lt;&gt;"",DATE(YEAR([0]!Primer_pago),MONTH([0]!Primer_pago)+('Tabla de Amortización'!A365-1)*12/Pagos_por_año,DAY([0]!Primer_pago)),"")</f>
        <v>48639</v>
      </c>
      <c r="C365" s="53">
        <f t="shared" si="34"/>
        <v>38592.2773310894</v>
      </c>
      <c r="D365" s="53">
        <f t="shared" si="30"/>
        <v>152.76109776889555</v>
      </c>
      <c r="E365" s="53">
        <f t="shared" si="31"/>
        <v>1412.1809117404564</v>
      </c>
      <c r="F365" s="53">
        <f t="shared" si="32"/>
        <v>37180.09641934894</v>
      </c>
      <c r="G365" s="53">
        <f t="shared" si="35"/>
        <v>261435.66960498202</v>
      </c>
    </row>
    <row r="366" spans="1:7" ht="12.75">
      <c r="A366" s="51">
        <f t="shared" si="33"/>
        <v>336</v>
      </c>
      <c r="B366" s="52">
        <f>IF('Tabla de Amortización'!A366&lt;&gt;"",DATE(YEAR([0]!Primer_pago),MONTH([0]!Primer_pago)+('Tabla de Amortización'!A366-1)*12/Pagos_por_año,DAY([0]!Primer_pago)),"")</f>
        <v>48670</v>
      </c>
      <c r="C366" s="53">
        <f t="shared" si="34"/>
        <v>37180.09641934894</v>
      </c>
      <c r="D366" s="53">
        <f t="shared" si="30"/>
        <v>147.17121499325623</v>
      </c>
      <c r="E366" s="53">
        <f t="shared" si="31"/>
        <v>1417.7707945160957</v>
      </c>
      <c r="F366" s="53">
        <f t="shared" si="32"/>
        <v>35762.32562483285</v>
      </c>
      <c r="G366" s="53">
        <f t="shared" si="35"/>
        <v>261582.84081997527</v>
      </c>
    </row>
    <row r="367" spans="1:7" ht="12.75">
      <c r="A367" s="51">
        <f t="shared" si="33"/>
        <v>337</v>
      </c>
      <c r="B367" s="52">
        <f>IF('Tabla de Amortización'!A367&lt;&gt;"",DATE(YEAR([0]!Primer_pago),MONTH([0]!Primer_pago)+('Tabla de Amortización'!A367-1)*12/Pagos_por_año,DAY([0]!Primer_pago)),"")</f>
        <v>48700</v>
      </c>
      <c r="C367" s="53">
        <f t="shared" si="34"/>
        <v>35762.32562483285</v>
      </c>
      <c r="D367" s="53">
        <f t="shared" si="30"/>
        <v>141.5592055982967</v>
      </c>
      <c r="E367" s="53">
        <f t="shared" si="31"/>
        <v>1423.3828039110551</v>
      </c>
      <c r="F367" s="53">
        <f t="shared" si="32"/>
        <v>34338.942820921795</v>
      </c>
      <c r="G367" s="53">
        <f t="shared" si="35"/>
        <v>261724.40002557356</v>
      </c>
    </row>
    <row r="368" spans="1:7" ht="12.75">
      <c r="A368" s="51">
        <f t="shared" si="33"/>
        <v>338</v>
      </c>
      <c r="B368" s="52">
        <f>IF('Tabla de Amortización'!A368&lt;&gt;"",DATE(YEAR([0]!Primer_pago),MONTH([0]!Primer_pago)+('Tabla de Amortización'!A368-1)*12/Pagos_por_año,DAY([0]!Primer_pago)),"")</f>
        <v>48731</v>
      </c>
      <c r="C368" s="53">
        <f t="shared" si="34"/>
        <v>34338.942820921795</v>
      </c>
      <c r="D368" s="53">
        <f t="shared" si="30"/>
        <v>135.92498199948213</v>
      </c>
      <c r="E368" s="53">
        <f t="shared" si="31"/>
        <v>1429.0170275098699</v>
      </c>
      <c r="F368" s="53">
        <f t="shared" si="32"/>
        <v>32909.92579341192</v>
      </c>
      <c r="G368" s="53">
        <f t="shared" si="35"/>
        <v>261860.32500757303</v>
      </c>
    </row>
    <row r="369" spans="1:7" ht="12.75">
      <c r="A369" s="51">
        <f t="shared" si="33"/>
        <v>339</v>
      </c>
      <c r="B369" s="52">
        <f>IF('Tabla de Amortización'!A369&lt;&gt;"",DATE(YEAR([0]!Primer_pago),MONTH([0]!Primer_pago)+('Tabla de Amortización'!A369-1)*12/Pagos_por_año,DAY([0]!Primer_pago)),"")</f>
        <v>48761</v>
      </c>
      <c r="C369" s="53">
        <f t="shared" si="34"/>
        <v>32909.92579341192</v>
      </c>
      <c r="D369" s="53">
        <f t="shared" si="30"/>
        <v>130.26845626558887</v>
      </c>
      <c r="E369" s="53">
        <f t="shared" si="31"/>
        <v>1434.673553243763</v>
      </c>
      <c r="F369" s="53">
        <f t="shared" si="32"/>
        <v>31475.25224016816</v>
      </c>
      <c r="G369" s="53">
        <f t="shared" si="35"/>
        <v>261990.59346383862</v>
      </c>
    </row>
    <row r="370" spans="1:7" ht="12.75">
      <c r="A370" s="51">
        <f t="shared" si="33"/>
        <v>340</v>
      </c>
      <c r="B370" s="52">
        <f>IF('Tabla de Amortización'!A370&lt;&gt;"",DATE(YEAR([0]!Primer_pago),MONTH([0]!Primer_pago)+('Tabla de Amortización'!A370-1)*12/Pagos_por_año,DAY([0]!Primer_pago)),"")</f>
        <v>48792</v>
      </c>
      <c r="C370" s="53">
        <f t="shared" si="34"/>
        <v>31475.25224016816</v>
      </c>
      <c r="D370" s="53">
        <f t="shared" si="30"/>
        <v>124.5895401173323</v>
      </c>
      <c r="E370" s="53">
        <f t="shared" si="31"/>
        <v>1440.3524693920197</v>
      </c>
      <c r="F370" s="53">
        <f t="shared" si="32"/>
        <v>30034.89977077614</v>
      </c>
      <c r="G370" s="53">
        <f t="shared" si="35"/>
        <v>262115.18300395596</v>
      </c>
    </row>
    <row r="371" spans="1:7" ht="12.75">
      <c r="A371" s="51">
        <f t="shared" si="33"/>
        <v>341</v>
      </c>
      <c r="B371" s="52">
        <f>IF('Tabla de Amortización'!A371&lt;&gt;"",DATE(YEAR([0]!Primer_pago),MONTH([0]!Primer_pago)+('Tabla de Amortización'!A371-1)*12/Pagos_por_año,DAY([0]!Primer_pago)),"")</f>
        <v>48823</v>
      </c>
      <c r="C371" s="53">
        <f t="shared" si="34"/>
        <v>30034.89977077614</v>
      </c>
      <c r="D371" s="53">
        <f t="shared" si="30"/>
        <v>118.8881449259889</v>
      </c>
      <c r="E371" s="53">
        <f t="shared" si="31"/>
        <v>1446.053864583363</v>
      </c>
      <c r="F371" s="53">
        <f t="shared" si="32"/>
        <v>28588.84590619278</v>
      </c>
      <c r="G371" s="53">
        <f t="shared" si="35"/>
        <v>262234.0711488819</v>
      </c>
    </row>
    <row r="372" spans="1:7" ht="12.75">
      <c r="A372" s="51">
        <f t="shared" si="33"/>
        <v>342</v>
      </c>
      <c r="B372" s="52">
        <f>IF('Tabla de Amortización'!A372&lt;&gt;"",DATE(YEAR([0]!Primer_pago),MONTH([0]!Primer_pago)+('Tabla de Amortización'!A372-1)*12/Pagos_por_año,DAY([0]!Primer_pago)),"")</f>
        <v>48853</v>
      </c>
      <c r="C372" s="53">
        <f t="shared" si="34"/>
        <v>28588.84590619278</v>
      </c>
      <c r="D372" s="53">
        <f t="shared" si="30"/>
        <v>113.16418171201309</v>
      </c>
      <c r="E372" s="53">
        <f t="shared" si="31"/>
        <v>1451.777827797339</v>
      </c>
      <c r="F372" s="53">
        <f t="shared" si="32"/>
        <v>27137.06807839544</v>
      </c>
      <c r="G372" s="53">
        <f t="shared" si="35"/>
        <v>262347.23533059395</v>
      </c>
    </row>
    <row r="373" spans="1:7" ht="12.75">
      <c r="A373" s="51">
        <f t="shared" si="33"/>
        <v>343</v>
      </c>
      <c r="B373" s="52">
        <f>IF('Tabla de Amortización'!A373&lt;&gt;"",DATE(YEAR([0]!Primer_pago),MONTH([0]!Primer_pago)+('Tabla de Amortización'!A373-1)*12/Pagos_por_año,DAY([0]!Primer_pago)),"")</f>
        <v>48884</v>
      </c>
      <c r="C373" s="53">
        <f t="shared" si="34"/>
        <v>27137.06807839544</v>
      </c>
      <c r="D373" s="53">
        <f t="shared" si="30"/>
        <v>107.41756114364863</v>
      </c>
      <c r="E373" s="53">
        <f t="shared" si="31"/>
        <v>1457.5244483657034</v>
      </c>
      <c r="F373" s="53">
        <f t="shared" si="32"/>
        <v>25679.543630029737</v>
      </c>
      <c r="G373" s="53">
        <f t="shared" si="35"/>
        <v>262454.6528917376</v>
      </c>
    </row>
    <row r="374" spans="1:7" ht="12.75">
      <c r="A374" s="51">
        <f t="shared" si="33"/>
        <v>344</v>
      </c>
      <c r="B374" s="52">
        <f>IF('Tabla de Amortización'!A374&lt;&gt;"",DATE(YEAR([0]!Primer_pago),MONTH([0]!Primer_pago)+('Tabla de Amortización'!A374-1)*12/Pagos_por_año,DAY([0]!Primer_pago)),"")</f>
        <v>48914</v>
      </c>
      <c r="C374" s="53">
        <f t="shared" si="34"/>
        <v>25679.543630029737</v>
      </c>
      <c r="D374" s="53">
        <f t="shared" si="30"/>
        <v>101.64819353553439</v>
      </c>
      <c r="E374" s="53">
        <f t="shared" si="31"/>
        <v>1463.2938159738176</v>
      </c>
      <c r="F374" s="53">
        <f t="shared" si="32"/>
        <v>24216.24981405592</v>
      </c>
      <c r="G374" s="53">
        <f t="shared" si="35"/>
        <v>262556.3010852731</v>
      </c>
    </row>
    <row r="375" spans="1:7" ht="12.75">
      <c r="A375" s="51">
        <f t="shared" si="33"/>
        <v>345</v>
      </c>
      <c r="B375" s="52">
        <f>IF('Tabla de Amortización'!A375&lt;&gt;"",DATE(YEAR([0]!Primer_pago),MONTH([0]!Primer_pago)+('Tabla de Amortización'!A375-1)*12/Pagos_por_año,DAY([0]!Primer_pago)),"")</f>
        <v>48945</v>
      </c>
      <c r="C375" s="53">
        <f t="shared" si="34"/>
        <v>24216.24981405592</v>
      </c>
      <c r="D375" s="53">
        <f t="shared" si="30"/>
        <v>95.85598884730469</v>
      </c>
      <c r="E375" s="53">
        <f t="shared" si="31"/>
        <v>1469.0860206620473</v>
      </c>
      <c r="F375" s="53">
        <f t="shared" si="32"/>
        <v>22747.16379339387</v>
      </c>
      <c r="G375" s="53">
        <f t="shared" si="35"/>
        <v>262652.1570741204</v>
      </c>
    </row>
    <row r="376" spans="1:7" ht="12.75">
      <c r="A376" s="51">
        <f t="shared" si="33"/>
        <v>346</v>
      </c>
      <c r="B376" s="52">
        <f>IF('Tabla de Amortización'!A376&lt;&gt;"",DATE(YEAR([0]!Primer_pago),MONTH([0]!Primer_pago)+('Tabla de Amortización'!A376-1)*12/Pagos_por_año,DAY([0]!Primer_pago)),"")</f>
        <v>48976</v>
      </c>
      <c r="C376" s="53">
        <f t="shared" si="34"/>
        <v>22747.16379339387</v>
      </c>
      <c r="D376" s="53">
        <f t="shared" si="30"/>
        <v>90.04085668218407</v>
      </c>
      <c r="E376" s="53">
        <f t="shared" si="31"/>
        <v>1474.9011528271678</v>
      </c>
      <c r="F376" s="53">
        <f t="shared" si="32"/>
        <v>21272.2626405667</v>
      </c>
      <c r="G376" s="53">
        <f t="shared" si="35"/>
        <v>262742.1979308026</v>
      </c>
    </row>
    <row r="377" spans="1:7" ht="12.75">
      <c r="A377" s="51">
        <f t="shared" si="33"/>
        <v>347</v>
      </c>
      <c r="B377" s="52">
        <f>IF('Tabla de Amortización'!A377&lt;&gt;"",DATE(YEAR([0]!Primer_pago),MONTH([0]!Primer_pago)+('Tabla de Amortización'!A377-1)*12/Pagos_por_año,DAY([0]!Primer_pago)),"")</f>
        <v>49004</v>
      </c>
      <c r="C377" s="53">
        <f t="shared" si="34"/>
        <v>21272.2626405667</v>
      </c>
      <c r="D377" s="53">
        <f t="shared" si="30"/>
        <v>84.20270628557653</v>
      </c>
      <c r="E377" s="53">
        <f t="shared" si="31"/>
        <v>1480.7393032237753</v>
      </c>
      <c r="F377" s="53">
        <f t="shared" si="32"/>
        <v>19791.523337342926</v>
      </c>
      <c r="G377" s="53">
        <f t="shared" si="35"/>
        <v>262826.40063708817</v>
      </c>
    </row>
    <row r="378" spans="1:7" ht="12.75">
      <c r="A378" s="51">
        <f t="shared" si="33"/>
        <v>348</v>
      </c>
      <c r="B378" s="52">
        <f>IF('Tabla de Amortización'!A378&lt;&gt;"",DATE(YEAR([0]!Primer_pago),MONTH([0]!Primer_pago)+('Tabla de Amortización'!A378-1)*12/Pagos_por_año,DAY([0]!Primer_pago)),"")</f>
        <v>49035</v>
      </c>
      <c r="C378" s="53">
        <f t="shared" si="34"/>
        <v>19791.523337342926</v>
      </c>
      <c r="D378" s="53">
        <f t="shared" si="30"/>
        <v>78.34144654364908</v>
      </c>
      <c r="E378" s="53">
        <f t="shared" si="31"/>
        <v>1486.600562965703</v>
      </c>
      <c r="F378" s="53">
        <f t="shared" si="32"/>
        <v>18304.92277437722</v>
      </c>
      <c r="G378" s="53">
        <f t="shared" si="35"/>
        <v>262904.7420836318</v>
      </c>
    </row>
    <row r="379" spans="1:7" ht="12.75">
      <c r="A379" s="51">
        <f t="shared" si="33"/>
        <v>349</v>
      </c>
      <c r="B379" s="52">
        <f>IF('Tabla de Amortización'!A379&lt;&gt;"",DATE(YEAR([0]!Primer_pago),MONTH([0]!Primer_pago)+('Tabla de Amortización'!A379-1)*12/Pagos_por_año,DAY([0]!Primer_pago)),"")</f>
        <v>49065</v>
      </c>
      <c r="C379" s="53">
        <f t="shared" si="34"/>
        <v>18304.92277437722</v>
      </c>
      <c r="D379" s="53">
        <f t="shared" si="30"/>
        <v>72.45698598190984</v>
      </c>
      <c r="E379" s="53">
        <f t="shared" si="31"/>
        <v>1492.485023527442</v>
      </c>
      <c r="F379" s="53">
        <f t="shared" si="32"/>
        <v>16812.43775084978</v>
      </c>
      <c r="G379" s="53">
        <f t="shared" si="35"/>
        <v>262977.1990696137</v>
      </c>
    </row>
    <row r="380" spans="1:7" ht="12.75">
      <c r="A380" s="51">
        <f t="shared" si="33"/>
        <v>350</v>
      </c>
      <c r="B380" s="52">
        <f>IF('Tabla de Amortización'!A380&lt;&gt;"",DATE(YEAR([0]!Primer_pago),MONTH([0]!Primer_pago)+('Tabla de Amortización'!A380-1)*12/Pagos_por_año,DAY([0]!Primer_pago)),"")</f>
        <v>49096</v>
      </c>
      <c r="C380" s="53">
        <f t="shared" si="34"/>
        <v>16812.43775084978</v>
      </c>
      <c r="D380" s="53">
        <f t="shared" si="30"/>
        <v>66.54923276378038</v>
      </c>
      <c r="E380" s="53">
        <f t="shared" si="31"/>
        <v>1498.3927767455716</v>
      </c>
      <c r="F380" s="53">
        <f t="shared" si="32"/>
        <v>15314.044974104207</v>
      </c>
      <c r="G380" s="53">
        <f t="shared" si="35"/>
        <v>263043.74830237747</v>
      </c>
    </row>
    <row r="381" spans="1:7" ht="12.75">
      <c r="A381" s="51">
        <f t="shared" si="33"/>
        <v>351</v>
      </c>
      <c r="B381" s="52">
        <f>IF('Tabla de Amortización'!A381&lt;&gt;"",DATE(YEAR([0]!Primer_pago),MONTH([0]!Primer_pago)+('Tabla de Amortización'!A381-1)*12/Pagos_por_año,DAY([0]!Primer_pago)),"")</f>
        <v>49126</v>
      </c>
      <c r="C381" s="53">
        <f t="shared" si="34"/>
        <v>15314.044974104207</v>
      </c>
      <c r="D381" s="53">
        <f t="shared" si="30"/>
        <v>60.61809468916249</v>
      </c>
      <c r="E381" s="53">
        <f t="shared" si="31"/>
        <v>1504.3239148201894</v>
      </c>
      <c r="F381" s="53">
        <f t="shared" si="32"/>
        <v>13809.721059284017</v>
      </c>
      <c r="G381" s="53">
        <f t="shared" si="35"/>
        <v>263104.3663970666</v>
      </c>
    </row>
    <row r="382" spans="1:7" ht="12.75">
      <c r="A382" s="51">
        <f t="shared" si="33"/>
        <v>352</v>
      </c>
      <c r="B382" s="52">
        <f>IF('Tabla de Amortización'!A382&lt;&gt;"",DATE(YEAR([0]!Primer_pago),MONTH([0]!Primer_pago)+('Tabla de Amortización'!A382-1)*12/Pagos_por_año,DAY([0]!Primer_pago)),"")</f>
        <v>49157</v>
      </c>
      <c r="C382" s="53">
        <f t="shared" si="34"/>
        <v>13809.721059284017</v>
      </c>
      <c r="D382" s="53">
        <f t="shared" si="30"/>
        <v>54.66347919299923</v>
      </c>
      <c r="E382" s="53">
        <f t="shared" si="31"/>
        <v>1510.2785303163528</v>
      </c>
      <c r="F382" s="53">
        <f t="shared" si="32"/>
        <v>12299.442528967664</v>
      </c>
      <c r="G382" s="53">
        <f t="shared" si="35"/>
        <v>263159.0298762596</v>
      </c>
    </row>
    <row r="383" spans="1:7" ht="12.75">
      <c r="A383" s="51">
        <f t="shared" si="33"/>
        <v>353</v>
      </c>
      <c r="B383" s="52">
        <f>IF('Tabla de Amortización'!A383&lt;&gt;"",DATE(YEAR([0]!Primer_pago),MONTH([0]!Primer_pago)+('Tabla de Amortización'!A383-1)*12/Pagos_por_año,DAY([0]!Primer_pago)),"")</f>
        <v>49188</v>
      </c>
      <c r="C383" s="53">
        <f t="shared" si="34"/>
        <v>12299.442528967664</v>
      </c>
      <c r="D383" s="53">
        <f t="shared" si="30"/>
        <v>48.68529334383034</v>
      </c>
      <c r="E383" s="53">
        <f t="shared" si="31"/>
        <v>1516.2567161655215</v>
      </c>
      <c r="F383" s="53">
        <f t="shared" si="32"/>
        <v>10783.185812802141</v>
      </c>
      <c r="G383" s="53">
        <f t="shared" si="35"/>
        <v>263207.71516960347</v>
      </c>
    </row>
    <row r="384" spans="1:7" ht="12.75">
      <c r="A384" s="51">
        <f t="shared" si="33"/>
        <v>354</v>
      </c>
      <c r="B384" s="52">
        <f>IF('Tabla de Amortización'!A384&lt;&gt;"",DATE(YEAR([0]!Primer_pago),MONTH([0]!Primer_pago)+('Tabla de Amortización'!A384-1)*12/Pagos_por_año,DAY([0]!Primer_pago)),"")</f>
        <v>49218</v>
      </c>
      <c r="C384" s="53">
        <f t="shared" si="34"/>
        <v>10783.185812802141</v>
      </c>
      <c r="D384" s="53">
        <f t="shared" si="30"/>
        <v>42.683443842341816</v>
      </c>
      <c r="E384" s="53">
        <f t="shared" si="31"/>
        <v>1522.25856566701</v>
      </c>
      <c r="F384" s="53">
        <f t="shared" si="32"/>
        <v>9260.92724713513</v>
      </c>
      <c r="G384" s="53">
        <f t="shared" si="35"/>
        <v>263250.3986134458</v>
      </c>
    </row>
    <row r="385" spans="1:7" ht="12.75">
      <c r="A385" s="51">
        <f t="shared" si="33"/>
        <v>355</v>
      </c>
      <c r="B385" s="52">
        <f>IF('Tabla de Amortización'!A385&lt;&gt;"",DATE(YEAR([0]!Primer_pago),MONTH([0]!Primer_pago)+('Tabla de Amortización'!A385-1)*12/Pagos_por_año,DAY([0]!Primer_pago)),"")</f>
        <v>49249</v>
      </c>
      <c r="C385" s="53">
        <f t="shared" si="34"/>
        <v>9260.92724713513</v>
      </c>
      <c r="D385" s="53">
        <f t="shared" si="30"/>
        <v>36.65783701990989</v>
      </c>
      <c r="E385" s="53">
        <f t="shared" si="31"/>
        <v>1528.284172489442</v>
      </c>
      <c r="F385" s="53">
        <f t="shared" si="32"/>
        <v>7732.643074645688</v>
      </c>
      <c r="G385" s="53">
        <f t="shared" si="35"/>
        <v>263287.0564504657</v>
      </c>
    </row>
    <row r="386" spans="1:7" ht="12.75">
      <c r="A386" s="51">
        <f t="shared" si="33"/>
        <v>356</v>
      </c>
      <c r="B386" s="52">
        <f>IF('Tabla de Amortización'!A386&lt;&gt;"",DATE(YEAR([0]!Primer_pago),MONTH([0]!Primer_pago)+('Tabla de Amortización'!A386-1)*12/Pagos_por_año,DAY([0]!Primer_pago)),"")</f>
        <v>49279</v>
      </c>
      <c r="C386" s="53">
        <f t="shared" si="34"/>
        <v>7732.643074645688</v>
      </c>
      <c r="D386" s="53">
        <f t="shared" si="30"/>
        <v>30.608378837139185</v>
      </c>
      <c r="E386" s="53">
        <f t="shared" si="31"/>
        <v>1534.3336306722126</v>
      </c>
      <c r="F386" s="53">
        <f t="shared" si="32"/>
        <v>6198.309443973476</v>
      </c>
      <c r="G386" s="53">
        <f t="shared" si="35"/>
        <v>263317.6648293028</v>
      </c>
    </row>
    <row r="387" spans="1:7" ht="12.75">
      <c r="A387" s="51">
        <f t="shared" si="33"/>
        <v>357</v>
      </c>
      <c r="B387" s="52">
        <f>IF('Tabla de Amortización'!A387&lt;&gt;"",DATE(YEAR([0]!Primer_pago),MONTH([0]!Primer_pago)+('Tabla de Amortización'!A387-1)*12/Pagos_por_año,DAY([0]!Primer_pago)),"")</f>
        <v>49310</v>
      </c>
      <c r="C387" s="53">
        <f t="shared" si="34"/>
        <v>6198.309443973476</v>
      </c>
      <c r="D387" s="53">
        <f t="shared" si="30"/>
        <v>24.534974882395012</v>
      </c>
      <c r="E387" s="53">
        <f t="shared" si="31"/>
        <v>1540.4070346269568</v>
      </c>
      <c r="F387" s="53">
        <f t="shared" si="32"/>
        <v>4657.90240934652</v>
      </c>
      <c r="G387" s="53">
        <f t="shared" si="35"/>
        <v>263342.1998041852</v>
      </c>
    </row>
    <row r="388" spans="1:7" ht="12.75">
      <c r="A388" s="51">
        <f t="shared" si="33"/>
        <v>358</v>
      </c>
      <c r="B388" s="52">
        <f>IF('Tabla de Amortización'!A388&lt;&gt;"",DATE(YEAR([0]!Primer_pago),MONTH([0]!Primer_pago)+('Tabla de Amortización'!A388-1)*12/Pagos_por_año,DAY([0]!Primer_pago)),"")</f>
        <v>49341</v>
      </c>
      <c r="C388" s="53">
        <f t="shared" si="34"/>
        <v>4657.90240934652</v>
      </c>
      <c r="D388" s="53">
        <f t="shared" si="30"/>
        <v>18.437530370329974</v>
      </c>
      <c r="E388" s="53">
        <f t="shared" si="31"/>
        <v>1546.504479139022</v>
      </c>
      <c r="F388" s="53">
        <f t="shared" si="32"/>
        <v>3111.3979302074977</v>
      </c>
      <c r="G388" s="53">
        <f t="shared" si="35"/>
        <v>263360.6373345555</v>
      </c>
    </row>
    <row r="389" spans="1:7" ht="12.75">
      <c r="A389" s="51">
        <f t="shared" si="33"/>
        <v>359</v>
      </c>
      <c r="B389" s="52">
        <f>IF('Tabla de Amortización'!A389&lt;&gt;"",DATE(YEAR([0]!Primer_pago),MONTH([0]!Primer_pago)+('Tabla de Amortización'!A389-1)*12/Pagos_por_año,DAY([0]!Primer_pago)),"")</f>
        <v>49369</v>
      </c>
      <c r="C389" s="53">
        <f t="shared" si="34"/>
        <v>3111.3979302074977</v>
      </c>
      <c r="D389" s="53">
        <f t="shared" si="30"/>
        <v>12.315950140404679</v>
      </c>
      <c r="E389" s="53">
        <f t="shared" si="31"/>
        <v>1552.6260593689472</v>
      </c>
      <c r="F389" s="53">
        <f t="shared" si="32"/>
        <v>1558.7718708385505</v>
      </c>
      <c r="G389" s="53">
        <f t="shared" si="35"/>
        <v>263372.9532846959</v>
      </c>
    </row>
    <row r="390" spans="1:7" ht="12.75">
      <c r="A390" s="51">
        <f t="shared" si="33"/>
        <v>360</v>
      </c>
      <c r="B390" s="52">
        <f>IF('Tabla de Amortización'!A390&lt;&gt;"",DATE(YEAR([0]!Primer_pago),MONTH([0]!Primer_pago)+('Tabla de Amortización'!A390-1)*12/Pagos_por_año,DAY([0]!Primer_pago)),"")</f>
        <v>49400</v>
      </c>
      <c r="C390" s="53">
        <f t="shared" si="34"/>
        <v>1558.7718708385505</v>
      </c>
      <c r="D390" s="53">
        <f t="shared" si="30"/>
        <v>6.170138655402596</v>
      </c>
      <c r="E390" s="53">
        <f t="shared" si="31"/>
        <v>1558.7718708385505</v>
      </c>
      <c r="F390" s="53">
        <f t="shared" si="32"/>
        <v>0</v>
      </c>
      <c r="G390" s="53">
        <f t="shared" si="35"/>
        <v>263379.1234233513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Tomás Salvador</dc:creator>
  <cp:keywords/>
  <dc:description/>
  <cp:lastModifiedBy>JT</cp:lastModifiedBy>
  <cp:lastPrinted>2004-11-10T17:27:47Z</cp:lastPrinted>
  <dcterms:created xsi:type="dcterms:W3CDTF">1996-11-27T10:00:04Z</dcterms:created>
  <dcterms:modified xsi:type="dcterms:W3CDTF">2006-06-29T22:02:04Z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-433484091</vt:i4>
  </property>
  <property fmtid="{D5CDD505-2E9C-101B-9397-08002B2CF9AE}" pid="4" name="_EmailSubje">
    <vt:lpwstr>Descargas ciudaddelduque2</vt:lpwstr>
  </property>
  <property fmtid="{D5CDD505-2E9C-101B-9397-08002B2CF9AE}" pid="5" name="_AuthorEma">
    <vt:lpwstr>jose_tomas.salvador@intersystems.com</vt:lpwstr>
  </property>
  <property fmtid="{D5CDD505-2E9C-101B-9397-08002B2CF9AE}" pid="6" name="_AuthorEmailDisplayNa">
    <vt:lpwstr>Jose-Tomas Salvador</vt:lpwstr>
  </property>
</Properties>
</file>