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2270" activeTab="0"/>
  </bookViews>
  <sheets>
    <sheet name="Cálculo hipotec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M145862</author>
    <author>C&amp;R</author>
  </authors>
  <commentList>
    <comment ref="E4" authorId="0">
      <text>
        <r>
          <rPr>
            <b/>
            <sz val="8"/>
            <rFont val="Tahoma"/>
            <family val="0"/>
          </rPr>
          <t xml:space="preserve">Contratando seguro vida, seguro de garantía de cobro, seguro vivienda y domiciliando  nóminas 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>Mirar en www.euribor.com</t>
        </r>
      </text>
    </comment>
    <comment ref="E18" authorId="0">
      <text>
        <r>
          <rPr>
            <b/>
            <sz val="8"/>
            <rFont val="Tahoma"/>
            <family val="0"/>
          </rPr>
          <t xml:space="preserve">Contratando seguro vida, seguro de garantía de cobro, seguro vivienda y domiciliando  nóminas 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Están negociando el 3% con la "central"</t>
        </r>
        <r>
          <rPr>
            <sz val="8"/>
            <rFont val="Tahoma"/>
            <family val="0"/>
          </rPr>
          <t xml:space="preserve">
</t>
        </r>
      </text>
    </comment>
    <comment ref="N20" authorId="1">
      <text>
        <r>
          <rPr>
            <b/>
            <sz val="8"/>
            <rFont val="Tahoma"/>
            <family val="0"/>
          </rPr>
          <t>Si el tipo del 1º año es el mismo que el resto de tiempo pon 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<sst xmlns="http://schemas.openxmlformats.org/spreadsheetml/2006/main" count="102" uniqueCount="56">
  <si>
    <t>SUBROGACIÓN SABADELL</t>
  </si>
  <si>
    <t>Gastos iniciales</t>
  </si>
  <si>
    <t>Euribor mensual</t>
  </si>
  <si>
    <t>Comisión apertura</t>
  </si>
  <si>
    <t>enero</t>
  </si>
  <si>
    <t>Notario</t>
  </si>
  <si>
    <t>Registro</t>
  </si>
  <si>
    <t>Gestoría</t>
  </si>
  <si>
    <t>Tasación</t>
  </si>
  <si>
    <t>TOTAL</t>
  </si>
  <si>
    <t xml:space="preserve">Comparación </t>
  </si>
  <si>
    <t>Capital</t>
  </si>
  <si>
    <t>Dif gasto</t>
  </si>
  <si>
    <t>Plazo</t>
  </si>
  <si>
    <t>años</t>
  </si>
  <si>
    <t>Amortización en:</t>
  </si>
  <si>
    <t>meses</t>
  </si>
  <si>
    <t>Diferencial</t>
  </si>
  <si>
    <t>Suelo</t>
  </si>
  <si>
    <t>Tipo 1º año</t>
  </si>
  <si>
    <t>Anual</t>
  </si>
  <si>
    <t>Tipo interés</t>
  </si>
  <si>
    <t>Cuota 1ºaño:</t>
  </si>
  <si>
    <t>Cuota:</t>
  </si>
  <si>
    <t>Numero de Cuotas:</t>
  </si>
  <si>
    <t>Cuadro de amortización</t>
  </si>
  <si>
    <t>Año</t>
  </si>
  <si>
    <t>Mes</t>
  </si>
  <si>
    <t>Cuota</t>
  </si>
  <si>
    <t>Interes</t>
  </si>
  <si>
    <t>Amortizacion</t>
  </si>
  <si>
    <t>Capital Pendiente</t>
  </si>
  <si>
    <t>Com. subrrogación</t>
  </si>
  <si>
    <t>Fecha inicial</t>
  </si>
  <si>
    <t>Seguro protección pago</t>
  </si>
  <si>
    <t>Seguros</t>
  </si>
  <si>
    <t>Al mes</t>
  </si>
  <si>
    <t>Recibo</t>
  </si>
  <si>
    <t>Periodo</t>
  </si>
  <si>
    <t>Seguro Vida:</t>
  </si>
  <si>
    <t>Trimestral</t>
  </si>
  <si>
    <t>Mensual</t>
  </si>
  <si>
    <t>Seguro vivienda:</t>
  </si>
  <si>
    <t>Semestral</t>
  </si>
  <si>
    <t>Condiciones hipoteca</t>
  </si>
  <si>
    <t>Letra resultante</t>
  </si>
  <si>
    <t>Otro gasto</t>
  </si>
  <si>
    <t>Interés mensual 1º año:</t>
  </si>
  <si>
    <t>Interés mensual resto:</t>
  </si>
  <si>
    <t>Amortización parcial</t>
  </si>
  <si>
    <t>Gastos compraventa</t>
  </si>
  <si>
    <t>Otro banco</t>
  </si>
  <si>
    <t>Com. Subrrogación</t>
  </si>
  <si>
    <t>Com. Desestimiento</t>
  </si>
  <si>
    <t>Precio vivienda</t>
  </si>
  <si>
    <t>% solicitado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</si>
</sst>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#,##0.00\ &quot;€&quot;"/>
    <numFmt numFmtId="166" formatCode="0.000%"/>
    <numFmt numFmtId="167" formatCode="0.0000%"/>
    <numFmt numFmtId="168" formatCode="[$-C0A]dddd\,\ dd&quot; de &quot;mmmm&quot; de &quot;yyyy"/>
    <numFmt numFmtId="169" formatCode="#,##0.000"/>
    <numFmt numFmtId="170" formatCode="#,##0.0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12">
    <font>
      <sz val="10"/>
      <name val="Arial"/>
      <family val="0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4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2" borderId="1" xfId="0" applyNumberFormat="1" applyFont="1" applyFill="1" applyBorder="1" applyAlignment="1" applyProtection="1">
      <alignment/>
      <protection/>
    </xf>
    <xf numFmtId="10" fontId="0" fillId="0" borderId="2" xfId="0" applyNumberFormat="1" applyBorder="1" applyAlignment="1" applyProtection="1">
      <alignment/>
      <protection locked="0"/>
    </xf>
    <xf numFmtId="165" fontId="0" fillId="2" borderId="3" xfId="0" applyNumberFormat="1" applyFill="1" applyBorder="1" applyAlignment="1" applyProtection="1">
      <alignment/>
      <protection/>
    </xf>
    <xf numFmtId="10" fontId="0" fillId="3" borderId="2" xfId="0" applyNumberFormat="1" applyFill="1" applyBorder="1" applyAlignment="1" applyProtection="1">
      <alignment/>
      <protection locked="0"/>
    </xf>
    <xf numFmtId="165" fontId="0" fillId="3" borderId="4" xfId="0" applyNumberFormat="1" applyFill="1" applyBorder="1" applyAlignment="1" applyProtection="1">
      <alignment/>
      <protection locked="0"/>
    </xf>
    <xf numFmtId="165" fontId="0" fillId="2" borderId="4" xfId="0" applyNumberFormat="1" applyFill="1" applyBorder="1" applyAlignment="1" applyProtection="1">
      <alignment/>
      <protection/>
    </xf>
    <xf numFmtId="165" fontId="0" fillId="2" borderId="5" xfId="0" applyNumberFormat="1" applyFont="1" applyFill="1" applyBorder="1" applyAlignment="1" applyProtection="1">
      <alignment horizontal="right"/>
      <protection/>
    </xf>
    <xf numFmtId="165" fontId="5" fillId="2" borderId="6" xfId="0" applyNumberFormat="1" applyFont="1" applyFill="1" applyBorder="1" applyAlignment="1" applyProtection="1">
      <alignment/>
      <protection/>
    </xf>
    <xf numFmtId="165" fontId="5" fillId="2" borderId="7" xfId="0" applyNumberFormat="1" applyFont="1" applyFill="1" applyBorder="1" applyAlignment="1" applyProtection="1">
      <alignment/>
      <protection/>
    </xf>
    <xf numFmtId="165" fontId="0" fillId="2" borderId="1" xfId="0" applyNumberFormat="1" applyFill="1" applyBorder="1" applyAlignment="1" applyProtection="1">
      <alignment/>
      <protection/>
    </xf>
    <xf numFmtId="165" fontId="0" fillId="2" borderId="8" xfId="0" applyNumberFormat="1" applyFill="1" applyBorder="1" applyAlignment="1" applyProtection="1" quotePrefix="1">
      <alignment horizontal="left"/>
      <protection/>
    </xf>
    <xf numFmtId="0" fontId="5" fillId="2" borderId="0" xfId="0" applyNumberFormat="1" applyFont="1" applyFill="1" applyBorder="1" applyAlignment="1" applyProtection="1">
      <alignment/>
      <protection/>
    </xf>
    <xf numFmtId="165" fontId="0" fillId="2" borderId="8" xfId="0" applyNumberFormat="1" applyFill="1" applyBorder="1" applyAlignment="1" applyProtection="1">
      <alignment horizontal="left"/>
      <protection/>
    </xf>
    <xf numFmtId="10" fontId="5" fillId="3" borderId="0" xfId="0" applyNumberFormat="1" applyFont="1" applyFill="1" applyBorder="1" applyAlignment="1" applyProtection="1">
      <alignment/>
      <protection locked="0"/>
    </xf>
    <xf numFmtId="10" fontId="5" fillId="2" borderId="0" xfId="0" applyNumberFormat="1" applyFont="1" applyFill="1" applyBorder="1" applyAlignment="1" applyProtection="1">
      <alignment/>
      <protection/>
    </xf>
    <xf numFmtId="165" fontId="0" fillId="2" borderId="5" xfId="0" applyNumberFormat="1" applyFill="1" applyBorder="1" applyAlignment="1" applyProtection="1">
      <alignment/>
      <protection/>
    </xf>
    <xf numFmtId="165" fontId="0" fillId="2" borderId="7" xfId="0" applyNumberFormat="1" applyFill="1" applyBorder="1" applyAlignment="1" applyProtection="1">
      <alignment/>
      <protection/>
    </xf>
    <xf numFmtId="165" fontId="7" fillId="2" borderId="8" xfId="0" applyNumberFormat="1" applyFont="1" applyFill="1" applyBorder="1" applyAlignment="1" applyProtection="1">
      <alignment horizontal="right"/>
      <protection/>
    </xf>
    <xf numFmtId="165" fontId="0" fillId="2" borderId="5" xfId="0" applyNumberFormat="1" applyFill="1" applyBorder="1" applyAlignment="1" applyProtection="1" quotePrefix="1">
      <alignment horizontal="left"/>
      <protection/>
    </xf>
    <xf numFmtId="0" fontId="5" fillId="2" borderId="6" xfId="0" applyNumberFormat="1" applyFont="1" applyFill="1" applyBorder="1" applyAlignment="1" applyProtection="1">
      <alignment/>
      <protection/>
    </xf>
    <xf numFmtId="165" fontId="5" fillId="2" borderId="7" xfId="0" applyNumberFormat="1" applyFont="1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165" fontId="5" fillId="4" borderId="11" xfId="0" applyNumberFormat="1" applyFont="1" applyFill="1" applyBorder="1" applyAlignment="1" applyProtection="1">
      <alignment horizontal="center" vertical="center"/>
      <protection/>
    </xf>
    <xf numFmtId="165" fontId="5" fillId="4" borderId="10" xfId="0" applyNumberFormat="1" applyFont="1" applyFill="1" applyBorder="1" applyAlignment="1" applyProtection="1">
      <alignment horizontal="center" vertical="center"/>
      <protection/>
    </xf>
    <xf numFmtId="165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5" fillId="4" borderId="11" xfId="0" applyFont="1" applyFill="1" applyBorder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 vertical="center"/>
      <protection/>
    </xf>
    <xf numFmtId="165" fontId="0" fillId="2" borderId="1" xfId="0" applyNumberFormat="1" applyFill="1" applyBorder="1" applyAlignment="1" applyProtection="1">
      <alignment horizontal="left"/>
      <protection/>
    </xf>
    <xf numFmtId="165" fontId="5" fillId="2" borderId="2" xfId="0" applyNumberFormat="1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65" fontId="5" fillId="2" borderId="3" xfId="0" applyNumberFormat="1" applyFont="1" applyFill="1" applyBorder="1" applyAlignment="1" applyProtection="1">
      <alignment/>
      <protection/>
    </xf>
    <xf numFmtId="165" fontId="5" fillId="5" borderId="10" xfId="0" applyNumberFormat="1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 locked="0"/>
    </xf>
    <xf numFmtId="165" fontId="0" fillId="2" borderId="5" xfId="0" applyNumberFormat="1" applyFill="1" applyBorder="1" applyAlignment="1" applyProtection="1">
      <alignment horizontal="left"/>
      <protection/>
    </xf>
    <xf numFmtId="165" fontId="5" fillId="5" borderId="13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5" fontId="0" fillId="3" borderId="7" xfId="0" applyNumberFormat="1" applyFill="1" applyBorder="1" applyAlignment="1" applyProtection="1">
      <alignment/>
      <protection locked="0"/>
    </xf>
    <xf numFmtId="165" fontId="0" fillId="2" borderId="8" xfId="0" applyNumberFormat="1" applyFont="1" applyFill="1" applyBorder="1" applyAlignment="1" applyProtection="1">
      <alignment horizontal="left"/>
      <protection/>
    </xf>
    <xf numFmtId="165" fontId="0" fillId="2" borderId="0" xfId="0" applyNumberFormat="1" applyFont="1" applyFill="1" applyBorder="1" applyAlignment="1" applyProtection="1">
      <alignment horizontal="left"/>
      <protection/>
    </xf>
    <xf numFmtId="164" fontId="0" fillId="6" borderId="0" xfId="0" applyNumberFormat="1" applyFill="1" applyAlignment="1" applyProtection="1">
      <alignment horizontal="center"/>
      <protection/>
    </xf>
    <xf numFmtId="0" fontId="0" fillId="6" borderId="0" xfId="0" applyFill="1" applyAlignment="1" applyProtection="1">
      <alignment/>
      <protection/>
    </xf>
    <xf numFmtId="165" fontId="0" fillId="6" borderId="0" xfId="0" applyNumberFormat="1" applyFill="1" applyAlignment="1" applyProtection="1">
      <alignment/>
      <protection/>
    </xf>
    <xf numFmtId="165" fontId="2" fillId="6" borderId="0" xfId="0" applyNumberFormat="1" applyFont="1" applyFill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165" fontId="0" fillId="6" borderId="0" xfId="0" applyNumberFormat="1" applyFill="1" applyBorder="1" applyAlignment="1" applyProtection="1" quotePrefix="1">
      <alignment horizontal="left"/>
      <protection/>
    </xf>
    <xf numFmtId="165" fontId="0" fillId="6" borderId="0" xfId="0" applyNumberFormat="1" applyFill="1" applyBorder="1" applyAlignment="1" applyProtection="1" quotePrefix="1">
      <alignment horizontal="right"/>
      <protection/>
    </xf>
    <xf numFmtId="165" fontId="2" fillId="6" borderId="0" xfId="0" applyNumberFormat="1" applyFont="1" applyFill="1" applyBorder="1" applyAlignment="1" applyProtection="1">
      <alignment/>
      <protection/>
    </xf>
    <xf numFmtId="165" fontId="5" fillId="6" borderId="0" xfId="0" applyNumberFormat="1" applyFont="1" applyFill="1" applyBorder="1" applyAlignment="1" applyProtection="1">
      <alignment/>
      <protection/>
    </xf>
    <xf numFmtId="165" fontId="0" fillId="6" borderId="0" xfId="0" applyNumberFormat="1" applyFill="1" applyBorder="1" applyAlignment="1" applyProtection="1">
      <alignment/>
      <protection/>
    </xf>
    <xf numFmtId="165" fontId="0" fillId="6" borderId="0" xfId="0" applyNumberFormat="1" applyFill="1" applyAlignment="1" applyProtection="1" quotePrefix="1">
      <alignment horizontal="left"/>
      <protection/>
    </xf>
    <xf numFmtId="165" fontId="2" fillId="6" borderId="0" xfId="0" applyNumberFormat="1" applyFont="1" applyFill="1" applyAlignment="1" applyProtection="1">
      <alignment horizontal="left"/>
      <protection/>
    </xf>
    <xf numFmtId="165" fontId="6" fillId="6" borderId="0" xfId="0" applyNumberFormat="1" applyFont="1" applyFill="1" applyAlignment="1" applyProtection="1">
      <alignment horizontal="left"/>
      <protection/>
    </xf>
    <xf numFmtId="10" fontId="0" fillId="6" borderId="0" xfId="0" applyNumberFormat="1" applyFill="1" applyAlignment="1" applyProtection="1">
      <alignment/>
      <protection/>
    </xf>
    <xf numFmtId="167" fontId="0" fillId="6" borderId="0" xfId="0" applyNumberFormat="1" applyFill="1" applyAlignment="1" applyProtection="1">
      <alignment/>
      <protection/>
    </xf>
    <xf numFmtId="3" fontId="0" fillId="6" borderId="0" xfId="0" applyNumberFormat="1" applyFill="1" applyBorder="1" applyAlignment="1" applyProtection="1">
      <alignment/>
      <protection/>
    </xf>
    <xf numFmtId="3" fontId="0" fillId="6" borderId="0" xfId="0" applyNumberFormat="1" applyFill="1" applyAlignment="1" applyProtection="1">
      <alignment/>
      <protection/>
    </xf>
    <xf numFmtId="0" fontId="0" fillId="6" borderId="0" xfId="0" applyNumberFormat="1" applyFill="1" applyAlignment="1" applyProtection="1">
      <alignment/>
      <protection/>
    </xf>
    <xf numFmtId="0" fontId="0" fillId="6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0" fontId="5" fillId="2" borderId="3" xfId="0" applyNumberFormat="1" applyFont="1" applyFill="1" applyBorder="1" applyAlignment="1" applyProtection="1">
      <alignment/>
      <protection/>
    </xf>
    <xf numFmtId="10" fontId="5" fillId="2" borderId="4" xfId="0" applyNumberFormat="1" applyFont="1" applyFill="1" applyBorder="1" applyAlignment="1" applyProtection="1">
      <alignment/>
      <protection/>
    </xf>
    <xf numFmtId="165" fontId="0" fillId="2" borderId="2" xfId="0" applyNumberFormat="1" applyFill="1" applyBorder="1" applyAlignment="1" applyProtection="1">
      <alignment/>
      <protection/>
    </xf>
    <xf numFmtId="165" fontId="0" fillId="2" borderId="0" xfId="0" applyNumberFormat="1" applyFill="1" applyBorder="1" applyAlignment="1" applyProtection="1">
      <alignment horizontal="left" vertical="center" wrapText="1"/>
      <protection/>
    </xf>
    <xf numFmtId="165" fontId="0" fillId="2" borderId="6" xfId="0" applyNumberFormat="1" applyFill="1" applyBorder="1" applyAlignment="1" applyProtection="1">
      <alignment horizontal="left" vertical="center" wrapText="1"/>
      <protection/>
    </xf>
    <xf numFmtId="165" fontId="2" fillId="6" borderId="0" xfId="0" applyNumberFormat="1" applyFont="1" applyFill="1" applyBorder="1" applyAlignment="1" applyProtection="1" quotePrefix="1">
      <alignment horizontal="center"/>
      <protection/>
    </xf>
    <xf numFmtId="165" fontId="5" fillId="4" borderId="0" xfId="0" applyNumberFormat="1" applyFont="1" applyFill="1" applyBorder="1" applyAlignment="1" applyProtection="1" quotePrefix="1">
      <alignment horizontal="center" vertical="center" wrapText="1"/>
      <protection/>
    </xf>
    <xf numFmtId="165" fontId="5" fillId="4" borderId="14" xfId="0" applyNumberFormat="1" applyFont="1" applyFill="1" applyBorder="1" applyAlignment="1" applyProtection="1">
      <alignment horizontal="center" vertical="center" wrapText="1"/>
      <protection/>
    </xf>
    <xf numFmtId="165" fontId="0" fillId="2" borderId="2" xfId="0" applyNumberFormat="1" applyFill="1" applyBorder="1" applyAlignment="1" applyProtection="1">
      <alignment horizontal="right"/>
      <protection/>
    </xf>
    <xf numFmtId="165" fontId="0" fillId="2" borderId="3" xfId="0" applyNumberFormat="1" applyFill="1" applyBorder="1" applyAlignment="1" applyProtection="1">
      <alignment horizontal="right"/>
      <protection/>
    </xf>
    <xf numFmtId="165" fontId="0" fillId="2" borderId="8" xfId="0" applyNumberFormat="1" applyFill="1" applyBorder="1" applyAlignment="1" applyProtection="1">
      <alignment/>
      <protection/>
    </xf>
    <xf numFmtId="10" fontId="0" fillId="3" borderId="0" xfId="0" applyNumberFormat="1" applyFont="1" applyFill="1" applyBorder="1" applyAlignment="1" applyProtection="1">
      <alignment/>
      <protection locked="0"/>
    </xf>
    <xf numFmtId="10" fontId="0" fillId="3" borderId="6" xfId="0" applyNumberFormat="1" applyFont="1" applyFill="1" applyBorder="1" applyAlignment="1" applyProtection="1">
      <alignment/>
      <protection locked="0"/>
    </xf>
    <xf numFmtId="166" fontId="4" fillId="3" borderId="1" xfId="16" applyNumberFormat="1" applyFont="1" applyFill="1" applyBorder="1" applyAlignment="1" applyProtection="1">
      <alignment horizontal="center" vertical="center"/>
      <protection locked="0"/>
    </xf>
    <xf numFmtId="166" fontId="4" fillId="3" borderId="2" xfId="16" applyNumberFormat="1" applyFont="1" applyFill="1" applyBorder="1" applyAlignment="1" applyProtection="1">
      <alignment horizontal="center" vertical="center"/>
      <protection locked="0"/>
    </xf>
    <xf numFmtId="166" fontId="4" fillId="3" borderId="3" xfId="16" applyNumberFormat="1" applyFont="1" applyFill="1" applyBorder="1" applyAlignment="1" applyProtection="1">
      <alignment horizontal="center" vertical="center"/>
      <protection locked="0"/>
    </xf>
    <xf numFmtId="166" fontId="4" fillId="3" borderId="8" xfId="16" applyNumberFormat="1" applyFont="1" applyFill="1" applyBorder="1" applyAlignment="1" applyProtection="1">
      <alignment horizontal="center" vertical="center"/>
      <protection locked="0"/>
    </xf>
    <xf numFmtId="165" fontId="5" fillId="2" borderId="0" xfId="15" applyNumberFormat="1" applyFont="1" applyFill="1" applyBorder="1" applyAlignment="1" applyProtection="1">
      <alignment/>
      <protection/>
    </xf>
    <xf numFmtId="165" fontId="5" fillId="3" borderId="2" xfId="15" applyNumberFormat="1" applyFont="1" applyFill="1" applyBorder="1" applyAlignment="1" applyProtection="1">
      <alignment vertical="center"/>
      <protection locked="0"/>
    </xf>
    <xf numFmtId="165" fontId="0" fillId="2" borderId="3" xfId="0" applyNumberFormat="1" applyFill="1" applyBorder="1" applyAlignment="1" applyProtection="1">
      <alignment vertical="center"/>
      <protection/>
    </xf>
    <xf numFmtId="165" fontId="0" fillId="2" borderId="8" xfId="0" applyNumberFormat="1" applyFill="1" applyBorder="1" applyAlignment="1" applyProtection="1" quotePrefix="1">
      <alignment horizontal="left" vertical="center"/>
      <protection/>
    </xf>
    <xf numFmtId="165" fontId="5" fillId="3" borderId="0" xfId="15" applyNumberFormat="1" applyFont="1" applyFill="1" applyBorder="1" applyAlignment="1" applyProtection="1">
      <alignment vertical="center"/>
      <protection locked="0"/>
    </xf>
    <xf numFmtId="165" fontId="0" fillId="2" borderId="4" xfId="0" applyNumberFormat="1" applyFill="1" applyBorder="1" applyAlignment="1" applyProtection="1">
      <alignment vertical="center"/>
      <protection/>
    </xf>
    <xf numFmtId="0" fontId="5" fillId="3" borderId="0" xfId="0" applyNumberFormat="1" applyFont="1" applyFill="1" applyBorder="1" applyAlignment="1" applyProtection="1">
      <alignment vertical="center"/>
      <protection locked="0"/>
    </xf>
    <xf numFmtId="165" fontId="0" fillId="2" borderId="8" xfId="0" applyNumberFormat="1" applyFill="1" applyBorder="1" applyAlignment="1" applyProtection="1">
      <alignment horizontal="left" vertical="center"/>
      <protection/>
    </xf>
    <xf numFmtId="10" fontId="5" fillId="3" borderId="0" xfId="0" applyNumberFormat="1" applyFont="1" applyFill="1" applyBorder="1" applyAlignment="1" applyProtection="1">
      <alignment vertical="center"/>
      <protection locked="0"/>
    </xf>
    <xf numFmtId="10" fontId="5" fillId="2" borderId="0" xfId="0" applyNumberFormat="1" applyFont="1" applyFill="1" applyBorder="1" applyAlignment="1" applyProtection="1">
      <alignment vertical="center"/>
      <protection/>
    </xf>
    <xf numFmtId="165" fontId="0" fillId="2" borderId="8" xfId="0" applyNumberFormat="1" applyFill="1" applyBorder="1" applyAlignment="1" applyProtection="1">
      <alignment vertical="center"/>
      <protection/>
    </xf>
    <xf numFmtId="10" fontId="0" fillId="3" borderId="0" xfId="0" applyNumberFormat="1" applyFont="1" applyFill="1" applyBorder="1" applyAlignment="1" applyProtection="1">
      <alignment vertical="center"/>
      <protection locked="0"/>
    </xf>
    <xf numFmtId="165" fontId="0" fillId="2" borderId="5" xfId="0" applyNumberFormat="1" applyFill="1" applyBorder="1" applyAlignment="1" applyProtection="1">
      <alignment vertical="center"/>
      <protection/>
    </xf>
    <xf numFmtId="10" fontId="0" fillId="3" borderId="6" xfId="0" applyNumberFormat="1" applyFont="1" applyFill="1" applyBorder="1" applyAlignment="1" applyProtection="1">
      <alignment vertical="center"/>
      <protection locked="0"/>
    </xf>
    <xf numFmtId="165" fontId="0" fillId="2" borderId="7" xfId="0" applyNumberFormat="1" applyFill="1" applyBorder="1" applyAlignment="1" applyProtection="1">
      <alignment vertical="center"/>
      <protection/>
    </xf>
    <xf numFmtId="165" fontId="0" fillId="2" borderId="1" xfId="0" applyNumberFormat="1" applyFill="1" applyBorder="1" applyAlignment="1" applyProtection="1">
      <alignment horizontal="left" vertical="center"/>
      <protection/>
    </xf>
    <xf numFmtId="10" fontId="5" fillId="2" borderId="0" xfId="15" applyNumberFormat="1" applyFont="1" applyFill="1" applyBorder="1" applyAlignment="1" applyProtection="1">
      <alignment vertical="center"/>
      <protection/>
    </xf>
    <xf numFmtId="165" fontId="5" fillId="2" borderId="2" xfId="15" applyNumberFormat="1" applyFont="1" applyFill="1" applyBorder="1" applyAlignment="1" applyProtection="1">
      <alignment vertical="center"/>
      <protection/>
    </xf>
    <xf numFmtId="1" fontId="0" fillId="3" borderId="0" xfId="0" applyNumberFormat="1" applyFill="1" applyAlignment="1" applyProtection="1">
      <alignment/>
      <protection/>
    </xf>
    <xf numFmtId="165" fontId="0" fillId="2" borderId="8" xfId="0" applyNumberFormat="1" applyFill="1" applyBorder="1" applyAlignment="1" applyProtection="1">
      <alignment horizontal="left" vertical="center" wrapText="1"/>
      <protection/>
    </xf>
    <xf numFmtId="165" fontId="0" fillId="2" borderId="5" xfId="0" applyNumberFormat="1" applyFill="1" applyBorder="1" applyAlignment="1" applyProtection="1">
      <alignment horizontal="left" vertical="center" wrapText="1"/>
      <protection/>
    </xf>
    <xf numFmtId="165" fontId="1" fillId="6" borderId="0" xfId="0" applyNumberFormat="1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 locked="0"/>
    </xf>
    <xf numFmtId="165" fontId="2" fillId="6" borderId="6" xfId="0" applyNumberFormat="1" applyFont="1" applyFill="1" applyBorder="1" applyAlignment="1" applyProtection="1">
      <alignment horizontal="left"/>
      <protection/>
    </xf>
    <xf numFmtId="165" fontId="3" fillId="6" borderId="6" xfId="0" applyNumberFormat="1" applyFont="1" applyFill="1" applyBorder="1" applyAlignment="1" applyProtection="1">
      <alignment horizontal="left"/>
      <protection/>
    </xf>
    <xf numFmtId="166" fontId="4" fillId="3" borderId="0" xfId="16" applyNumberFormat="1" applyFont="1" applyFill="1" applyBorder="1" applyAlignment="1" applyProtection="1">
      <alignment horizontal="center" vertical="center"/>
      <protection locked="0"/>
    </xf>
    <xf numFmtId="166" fontId="4" fillId="3" borderId="4" xfId="16" applyNumberFormat="1" applyFont="1" applyFill="1" applyBorder="1" applyAlignment="1" applyProtection="1">
      <alignment horizontal="center" vertical="center"/>
      <protection locked="0"/>
    </xf>
    <xf numFmtId="165" fontId="0" fillId="2" borderId="8" xfId="0" applyNumberFormat="1" applyFont="1" applyFill="1" applyBorder="1" applyAlignment="1" applyProtection="1">
      <alignment horizontal="left"/>
      <protection/>
    </xf>
    <xf numFmtId="165" fontId="0" fillId="2" borderId="0" xfId="0" applyNumberFormat="1" applyFont="1" applyFill="1" applyBorder="1" applyAlignment="1" applyProtection="1">
      <alignment horizontal="left"/>
      <protection/>
    </xf>
    <xf numFmtId="0" fontId="5" fillId="4" borderId="14" xfId="0" applyFont="1" applyFill="1" applyBorder="1" applyAlignment="1" applyProtection="1">
      <alignment horizontal="center" vertical="center" wrapText="1"/>
      <protection/>
    </xf>
    <xf numFmtId="0" fontId="5" fillId="4" borderId="13" xfId="0" applyFont="1" applyFill="1" applyBorder="1" applyAlignment="1" applyProtection="1">
      <alignment horizontal="center" vertical="center" wrapText="1"/>
      <protection/>
    </xf>
    <xf numFmtId="165" fontId="0" fillId="3" borderId="8" xfId="0" applyNumberFormat="1" applyFont="1" applyFill="1" applyBorder="1" applyAlignment="1" applyProtection="1">
      <alignment horizontal="left"/>
      <protection locked="0"/>
    </xf>
    <xf numFmtId="165" fontId="0" fillId="3" borderId="0" xfId="0" applyNumberFormat="1" applyFont="1" applyFill="1" applyBorder="1" applyAlignment="1" applyProtection="1">
      <alignment horizontal="left"/>
      <protection locked="0"/>
    </xf>
    <xf numFmtId="3" fontId="3" fillId="2" borderId="0" xfId="0" applyNumberFormat="1" applyFont="1" applyFill="1" applyBorder="1" applyAlignment="1" applyProtection="1">
      <alignment horizontal="center" vertical="center" wrapText="1"/>
      <protection/>
    </xf>
    <xf numFmtId="3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165" fontId="2" fillId="5" borderId="9" xfId="0" applyNumberFormat="1" applyFont="1" applyFill="1" applyBorder="1" applyAlignment="1" applyProtection="1">
      <alignment horizontal="center"/>
      <protection/>
    </xf>
    <xf numFmtId="165" fontId="2" fillId="5" borderId="15" xfId="0" applyNumberFormat="1" applyFont="1" applyFill="1" applyBorder="1" applyAlignment="1" applyProtection="1">
      <alignment horizontal="center"/>
      <protection/>
    </xf>
    <xf numFmtId="165" fontId="0" fillId="2" borderId="1" xfId="0" applyNumberFormat="1" applyFill="1" applyBorder="1" applyAlignment="1" applyProtection="1">
      <alignment horizontal="left"/>
      <protection/>
    </xf>
    <xf numFmtId="165" fontId="0" fillId="2" borderId="2" xfId="0" applyNumberFormat="1" applyFill="1" applyBorder="1" applyAlignment="1" applyProtection="1">
      <alignment horizontal="left"/>
      <protection/>
    </xf>
    <xf numFmtId="165" fontId="0" fillId="2" borderId="8" xfId="0" applyNumberFormat="1" applyFill="1" applyBorder="1" applyAlignment="1" applyProtection="1">
      <alignment horizontal="left"/>
      <protection/>
    </xf>
    <xf numFmtId="165" fontId="0" fillId="2" borderId="0" xfId="0" applyNumberFormat="1" applyFill="1" applyBorder="1" applyAlignment="1" applyProtection="1">
      <alignment horizontal="left"/>
      <protection/>
    </xf>
    <xf numFmtId="166" fontId="4" fillId="3" borderId="5" xfId="16" applyNumberFormat="1" applyFont="1" applyFill="1" applyBorder="1" applyAlignment="1" applyProtection="1">
      <alignment horizontal="center" vertical="center"/>
      <protection locked="0"/>
    </xf>
    <xf numFmtId="166" fontId="4" fillId="3" borderId="6" xfId="16" applyNumberFormat="1" applyFont="1" applyFill="1" applyBorder="1" applyAlignment="1" applyProtection="1">
      <alignment horizontal="center" vertical="center"/>
      <protection locked="0"/>
    </xf>
    <xf numFmtId="166" fontId="4" fillId="3" borderId="7" xfId="16" applyNumberFormat="1" applyFont="1" applyFill="1" applyBorder="1" applyAlignment="1" applyProtection="1">
      <alignment horizontal="center" vertical="center"/>
      <protection locked="0"/>
    </xf>
    <xf numFmtId="165" fontId="2" fillId="6" borderId="0" xfId="0" applyNumberFormat="1" applyFont="1" applyFill="1" applyAlignment="1" applyProtection="1">
      <alignment horizontal="left"/>
      <protection/>
    </xf>
    <xf numFmtId="165" fontId="2" fillId="6" borderId="6" xfId="0" applyNumberFormat="1" applyFont="1" applyFill="1" applyBorder="1" applyAlignment="1" applyProtection="1" quotePrefix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4">
    <dxf>
      <fill>
        <patternFill>
          <bgColor rgb="FFCC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</font>
      <fill>
        <patternFill>
          <bgColor rgb="FFCC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19"/>
  <sheetViews>
    <sheetView tabSelected="1" workbookViewId="0" topLeftCell="A1">
      <selection activeCell="N19" sqref="N19"/>
    </sheetView>
  </sheetViews>
  <sheetFormatPr defaultColWidth="11.421875" defaultRowHeight="12.75"/>
  <cols>
    <col min="1" max="1" width="9.140625" style="1" customWidth="1"/>
    <col min="2" max="3" width="4.57421875" style="2" bestFit="1" customWidth="1"/>
    <col min="4" max="4" width="17.7109375" style="3" customWidth="1"/>
    <col min="5" max="5" width="11.8515625" style="3" customWidth="1"/>
    <col min="6" max="6" width="13.140625" style="3" customWidth="1"/>
    <col min="7" max="7" width="11.7109375" style="3" customWidth="1"/>
    <col min="8" max="8" width="13.28125" style="3" customWidth="1"/>
    <col min="9" max="9" width="12.421875" style="3" hidden="1" customWidth="1"/>
    <col min="10" max="10" width="11.140625" style="2" customWidth="1"/>
    <col min="11" max="11" width="6.421875" style="2" customWidth="1"/>
    <col min="12" max="12" width="4.57421875" style="2" bestFit="1" customWidth="1"/>
    <col min="13" max="13" width="17.421875" style="3" customWidth="1"/>
    <col min="14" max="14" width="12.8515625" style="3" bestFit="1" customWidth="1"/>
    <col min="15" max="15" width="12.8515625" style="3" customWidth="1"/>
    <col min="16" max="16" width="13.7109375" style="3" customWidth="1"/>
    <col min="17" max="17" width="13.28125" style="3" customWidth="1"/>
    <col min="18" max="18" width="12.421875" style="3" hidden="1" customWidth="1"/>
    <col min="19" max="19" width="11.7109375" style="35" hidden="1" customWidth="1"/>
    <col min="20" max="55" width="11.421875" style="35" customWidth="1"/>
    <col min="56" max="16384" width="11.421875" style="2" customWidth="1"/>
  </cols>
  <sheetData>
    <row r="1" spans="1:20" ht="27.75">
      <c r="A1" s="49"/>
      <c r="B1" s="50"/>
      <c r="C1" s="107" t="s">
        <v>0</v>
      </c>
      <c r="D1" s="107"/>
      <c r="E1" s="107"/>
      <c r="F1" s="107"/>
      <c r="G1" s="107"/>
      <c r="H1" s="51"/>
      <c r="I1" s="51"/>
      <c r="J1" s="50"/>
      <c r="K1" s="50"/>
      <c r="L1" s="108" t="s">
        <v>51</v>
      </c>
      <c r="M1" s="108"/>
      <c r="N1" s="108"/>
      <c r="O1" s="108"/>
      <c r="P1" s="108"/>
      <c r="Q1" s="51"/>
      <c r="R1" s="51"/>
      <c r="T1" s="50"/>
    </row>
    <row r="2" spans="1:20" ht="12.75">
      <c r="A2" s="49"/>
      <c r="B2" s="50"/>
      <c r="C2" s="50"/>
      <c r="D2" s="51"/>
      <c r="E2" s="51"/>
      <c r="F2" s="51"/>
      <c r="G2" s="51"/>
      <c r="H2" s="51"/>
      <c r="I2" s="51"/>
      <c r="J2" s="50"/>
      <c r="K2" s="50"/>
      <c r="L2" s="50"/>
      <c r="M2" s="51"/>
      <c r="N2" s="51"/>
      <c r="O2" s="51"/>
      <c r="P2" s="51"/>
      <c r="Q2" s="51"/>
      <c r="R2" s="51"/>
      <c r="T2" s="50"/>
    </row>
    <row r="3" spans="1:20" ht="18.75" customHeight="1" thickBot="1">
      <c r="A3" s="49"/>
      <c r="B3" s="50"/>
      <c r="C3" s="50"/>
      <c r="D3" s="52" t="s">
        <v>1</v>
      </c>
      <c r="E3" s="51"/>
      <c r="F3" s="51"/>
      <c r="G3" s="51"/>
      <c r="H3" s="109" t="s">
        <v>2</v>
      </c>
      <c r="I3" s="109"/>
      <c r="J3" s="110"/>
      <c r="K3" s="110"/>
      <c r="L3" s="50"/>
      <c r="M3" s="52" t="s">
        <v>1</v>
      </c>
      <c r="N3" s="51"/>
      <c r="O3" s="51"/>
      <c r="P3" s="51"/>
      <c r="Q3" s="51"/>
      <c r="R3" s="51"/>
      <c r="T3" s="50"/>
    </row>
    <row r="4" spans="1:20" ht="12.75" customHeight="1">
      <c r="A4" s="49"/>
      <c r="B4" s="50"/>
      <c r="C4" s="50"/>
      <c r="D4" s="4" t="s">
        <v>32</v>
      </c>
      <c r="E4" s="5">
        <v>0.0075</v>
      </c>
      <c r="F4" s="6">
        <f>E16*E4</f>
        <v>1500</v>
      </c>
      <c r="G4" s="51"/>
      <c r="H4" s="82" t="s">
        <v>4</v>
      </c>
      <c r="I4" s="83"/>
      <c r="J4" s="83"/>
      <c r="K4" s="84"/>
      <c r="L4" s="50"/>
      <c r="M4" s="4" t="s">
        <v>3</v>
      </c>
      <c r="N4" s="7">
        <v>0</v>
      </c>
      <c r="O4" s="6">
        <f>N16*N4</f>
        <v>0</v>
      </c>
      <c r="P4" s="51"/>
      <c r="Q4" s="62"/>
      <c r="R4" s="51"/>
      <c r="T4" s="50"/>
    </row>
    <row r="5" spans="1:20" ht="12.75" customHeight="1">
      <c r="A5" s="49"/>
      <c r="B5" s="50"/>
      <c r="C5" s="50"/>
      <c r="D5" s="113" t="s">
        <v>5</v>
      </c>
      <c r="E5" s="114"/>
      <c r="F5" s="8">
        <v>840</v>
      </c>
      <c r="G5" s="51"/>
      <c r="H5" s="85"/>
      <c r="I5" s="111"/>
      <c r="J5" s="111"/>
      <c r="K5" s="112"/>
      <c r="L5" s="50"/>
      <c r="M5" s="113" t="s">
        <v>5</v>
      </c>
      <c r="N5" s="114"/>
      <c r="O5" s="8">
        <v>1000</v>
      </c>
      <c r="P5" s="51"/>
      <c r="Q5" s="63"/>
      <c r="R5" s="51"/>
      <c r="T5" s="50"/>
    </row>
    <row r="6" spans="1:20" ht="12.75" customHeight="1" thickBot="1">
      <c r="A6" s="49"/>
      <c r="B6" s="50"/>
      <c r="C6" s="50"/>
      <c r="D6" s="113" t="s">
        <v>6</v>
      </c>
      <c r="E6" s="114"/>
      <c r="F6" s="8">
        <v>490</v>
      </c>
      <c r="G6" s="51"/>
      <c r="H6" s="85"/>
      <c r="I6" s="111"/>
      <c r="J6" s="111"/>
      <c r="K6" s="112"/>
      <c r="L6" s="50"/>
      <c r="M6" s="113" t="s">
        <v>6</v>
      </c>
      <c r="N6" s="114"/>
      <c r="O6" s="8">
        <v>374</v>
      </c>
      <c r="P6" s="51"/>
      <c r="Q6" s="51"/>
      <c r="R6" s="51"/>
      <c r="T6" s="50"/>
    </row>
    <row r="7" spans="1:20" ht="12.75" customHeight="1">
      <c r="A7" s="49"/>
      <c r="B7" s="50"/>
      <c r="C7" s="50"/>
      <c r="D7" s="113" t="s">
        <v>7</v>
      </c>
      <c r="E7" s="114"/>
      <c r="F7" s="8">
        <v>315</v>
      </c>
      <c r="G7" s="51"/>
      <c r="H7" s="82">
        <v>0.01837</v>
      </c>
      <c r="I7" s="83"/>
      <c r="J7" s="83"/>
      <c r="K7" s="84"/>
      <c r="L7" s="50"/>
      <c r="M7" s="113" t="s">
        <v>7</v>
      </c>
      <c r="N7" s="114"/>
      <c r="O7" s="8">
        <v>700</v>
      </c>
      <c r="P7" s="51"/>
      <c r="Q7" s="51"/>
      <c r="R7" s="51"/>
      <c r="T7" s="50"/>
    </row>
    <row r="8" spans="1:20" ht="12.75" customHeight="1">
      <c r="A8" s="49"/>
      <c r="B8" s="50"/>
      <c r="C8" s="50"/>
      <c r="D8" s="113" t="s">
        <v>34</v>
      </c>
      <c r="E8" s="114"/>
      <c r="F8" s="8">
        <f>E16*0.011359</f>
        <v>2271.7999999999997</v>
      </c>
      <c r="G8" s="51"/>
      <c r="H8" s="85"/>
      <c r="I8" s="111"/>
      <c r="J8" s="111"/>
      <c r="K8" s="112"/>
      <c r="L8" s="50"/>
      <c r="M8" s="113" t="s">
        <v>8</v>
      </c>
      <c r="N8" s="114"/>
      <c r="O8" s="8">
        <v>284</v>
      </c>
      <c r="P8" s="51"/>
      <c r="Q8" s="51"/>
      <c r="R8" s="51"/>
      <c r="T8" s="50"/>
    </row>
    <row r="9" spans="1:20" ht="12.75" customHeight="1">
      <c r="A9" s="49"/>
      <c r="B9" s="50"/>
      <c r="C9" s="50"/>
      <c r="D9" s="47"/>
      <c r="E9" s="48"/>
      <c r="F9" s="9"/>
      <c r="G9" s="51"/>
      <c r="H9" s="85"/>
      <c r="I9" s="111"/>
      <c r="J9" s="111"/>
      <c r="K9" s="112"/>
      <c r="L9" s="50"/>
      <c r="M9" s="113" t="s">
        <v>34</v>
      </c>
      <c r="N9" s="114"/>
      <c r="O9" s="8">
        <v>0</v>
      </c>
      <c r="P9" s="51"/>
      <c r="Q9" s="51"/>
      <c r="R9" s="51"/>
      <c r="T9" s="50"/>
    </row>
    <row r="10" spans="1:20" ht="12.75" customHeight="1">
      <c r="A10" s="49"/>
      <c r="B10" s="50"/>
      <c r="C10" s="50"/>
      <c r="D10" s="117" t="s">
        <v>46</v>
      </c>
      <c r="E10" s="118"/>
      <c r="F10" s="8"/>
      <c r="G10" s="51"/>
      <c r="H10" s="85"/>
      <c r="I10" s="111"/>
      <c r="J10" s="111"/>
      <c r="K10" s="112"/>
      <c r="L10" s="50"/>
      <c r="M10" s="117" t="s">
        <v>50</v>
      </c>
      <c r="N10" s="118"/>
      <c r="O10" s="8">
        <v>3525.84</v>
      </c>
      <c r="P10" s="51"/>
      <c r="Q10" s="51"/>
      <c r="R10" s="51"/>
      <c r="T10" s="50"/>
    </row>
    <row r="11" spans="1:20" ht="12.75" customHeight="1" thickBot="1">
      <c r="A11" s="49"/>
      <c r="B11" s="50"/>
      <c r="C11" s="50"/>
      <c r="D11" s="10" t="s">
        <v>9</v>
      </c>
      <c r="E11" s="11"/>
      <c r="F11" s="12">
        <f>SUM(F4:F10)</f>
        <v>5416.799999999999</v>
      </c>
      <c r="G11" s="51"/>
      <c r="H11" s="129"/>
      <c r="I11" s="130"/>
      <c r="J11" s="130"/>
      <c r="K11" s="131"/>
      <c r="L11" s="50"/>
      <c r="M11" s="10" t="s">
        <v>9</v>
      </c>
      <c r="N11" s="11"/>
      <c r="O11" s="12">
        <f>SUM(O4:O10)</f>
        <v>5883.84</v>
      </c>
      <c r="P11" s="51"/>
      <c r="Q11" s="51"/>
      <c r="R11" s="51"/>
      <c r="T11" s="50"/>
    </row>
    <row r="12" spans="1:20" ht="12.75" customHeight="1">
      <c r="A12" s="49"/>
      <c r="B12" s="50"/>
      <c r="C12" s="50"/>
      <c r="D12" s="51"/>
      <c r="E12" s="51"/>
      <c r="F12" s="51"/>
      <c r="G12" s="51"/>
      <c r="H12" s="51"/>
      <c r="I12" s="51"/>
      <c r="J12" s="50"/>
      <c r="K12" s="50"/>
      <c r="L12" s="50"/>
      <c r="M12" s="51"/>
      <c r="N12" s="51"/>
      <c r="O12" s="51"/>
      <c r="P12" s="51"/>
      <c r="Q12" s="51"/>
      <c r="R12" s="51"/>
      <c r="T12" s="50"/>
    </row>
    <row r="13" spans="1:20" ht="18.75" customHeight="1" thickBot="1">
      <c r="A13" s="49"/>
      <c r="B13" s="50"/>
      <c r="C13" s="50"/>
      <c r="D13" s="60" t="s">
        <v>44</v>
      </c>
      <c r="E13" s="61"/>
      <c r="F13" s="51"/>
      <c r="G13" s="51"/>
      <c r="H13" s="132" t="s">
        <v>10</v>
      </c>
      <c r="I13" s="132"/>
      <c r="J13" s="132"/>
      <c r="K13" s="50"/>
      <c r="L13" s="50"/>
      <c r="M13" s="60" t="s">
        <v>44</v>
      </c>
      <c r="N13" s="61"/>
      <c r="O13" s="51"/>
      <c r="P13" s="51"/>
      <c r="Q13" s="51"/>
      <c r="R13" s="51"/>
      <c r="T13" s="50"/>
    </row>
    <row r="14" spans="1:20" ht="13.5" customHeight="1">
      <c r="A14" s="49"/>
      <c r="B14" s="50"/>
      <c r="C14" s="50"/>
      <c r="D14" s="101" t="s">
        <v>54</v>
      </c>
      <c r="E14" s="87">
        <v>250000</v>
      </c>
      <c r="F14" s="88"/>
      <c r="G14" s="51"/>
      <c r="H14" s="13" t="s">
        <v>12</v>
      </c>
      <c r="I14" s="71"/>
      <c r="J14" s="77">
        <f>O11-F11</f>
        <v>467.0400000000009</v>
      </c>
      <c r="K14" s="78"/>
      <c r="L14" s="50"/>
      <c r="M14" s="101" t="s">
        <v>54</v>
      </c>
      <c r="N14" s="103">
        <f>E14</f>
        <v>250000</v>
      </c>
      <c r="O14" s="88"/>
      <c r="P14" s="51"/>
      <c r="Q14" s="51"/>
      <c r="R14" s="51"/>
      <c r="T14" s="50"/>
    </row>
    <row r="15" spans="1:20" ht="13.5" customHeight="1">
      <c r="A15" s="49"/>
      <c r="B15" s="50"/>
      <c r="C15" s="50"/>
      <c r="D15" s="93" t="s">
        <v>55</v>
      </c>
      <c r="E15" s="102">
        <f>E16/E14</f>
        <v>0.8</v>
      </c>
      <c r="F15" s="91"/>
      <c r="G15" s="51"/>
      <c r="H15" s="105" t="s">
        <v>15</v>
      </c>
      <c r="I15" s="72"/>
      <c r="J15" s="119">
        <f>IF(S18&lt;0,"menos de 12",S18)</f>
        <v>96.5514277149864</v>
      </c>
      <c r="K15" s="121" t="s">
        <v>16</v>
      </c>
      <c r="L15" s="50"/>
      <c r="M15" s="93" t="s">
        <v>55</v>
      </c>
      <c r="N15" s="102">
        <f>N16/N14</f>
        <v>0.8</v>
      </c>
      <c r="O15" s="91"/>
      <c r="P15" s="51"/>
      <c r="Q15" s="51"/>
      <c r="R15" s="51"/>
      <c r="T15" s="50"/>
    </row>
    <row r="16" spans="1:20" ht="13.5" thickBot="1">
      <c r="A16" s="49"/>
      <c r="B16" s="50"/>
      <c r="C16" s="50"/>
      <c r="D16" s="89" t="s">
        <v>11</v>
      </c>
      <c r="E16" s="90">
        <v>200000</v>
      </c>
      <c r="F16" s="91"/>
      <c r="G16" s="59"/>
      <c r="H16" s="106"/>
      <c r="I16" s="73"/>
      <c r="J16" s="120"/>
      <c r="K16" s="122"/>
      <c r="L16" s="50"/>
      <c r="M16" s="14" t="s">
        <v>11</v>
      </c>
      <c r="N16" s="86">
        <f>E16</f>
        <v>200000</v>
      </c>
      <c r="O16" s="9"/>
      <c r="P16" s="59"/>
      <c r="Q16" s="51"/>
      <c r="R16" s="51"/>
      <c r="T16" s="50"/>
    </row>
    <row r="17" spans="1:20" ht="16.5" customHeight="1">
      <c r="A17" s="49"/>
      <c r="B17" s="50"/>
      <c r="C17" s="50"/>
      <c r="D17" s="89" t="s">
        <v>13</v>
      </c>
      <c r="E17" s="92">
        <v>30</v>
      </c>
      <c r="F17" s="91" t="s">
        <v>14</v>
      </c>
      <c r="G17" s="51"/>
      <c r="H17" s="50"/>
      <c r="I17" s="50"/>
      <c r="J17" s="50"/>
      <c r="K17" s="50"/>
      <c r="L17" s="50"/>
      <c r="M17" s="14" t="s">
        <v>13</v>
      </c>
      <c r="N17" s="15">
        <f>E17</f>
        <v>30</v>
      </c>
      <c r="O17" s="9" t="s">
        <v>14</v>
      </c>
      <c r="P17" s="51"/>
      <c r="Q17" s="51"/>
      <c r="R17" s="51"/>
      <c r="T17" s="50"/>
    </row>
    <row r="18" spans="1:20" ht="12.75">
      <c r="A18" s="49"/>
      <c r="B18" s="50"/>
      <c r="C18" s="50"/>
      <c r="D18" s="93" t="s">
        <v>17</v>
      </c>
      <c r="E18" s="94">
        <v>0.009</v>
      </c>
      <c r="F18" s="91"/>
      <c r="G18" s="51"/>
      <c r="H18" s="50"/>
      <c r="I18" s="50"/>
      <c r="J18" s="65"/>
      <c r="K18" s="50"/>
      <c r="L18" s="50"/>
      <c r="M18" s="16" t="s">
        <v>17</v>
      </c>
      <c r="N18" s="17">
        <v>0.005</v>
      </c>
      <c r="O18" s="9"/>
      <c r="P18" s="51"/>
      <c r="Q18" s="51"/>
      <c r="R18" s="51"/>
      <c r="S18" s="104">
        <f>IF(N29&gt;=E29,"∞",IF(N20&lt;&gt;0,12+((J14-((E28-N28)*12))/(E29-N29)),12+((J14-((E28-N29)*12))/(E29-N29))))</f>
        <v>96.5514277149864</v>
      </c>
      <c r="T18" s="50"/>
    </row>
    <row r="19" spans="1:20" ht="12.75">
      <c r="A19" s="49"/>
      <c r="B19" s="50"/>
      <c r="C19" s="50"/>
      <c r="D19" s="93" t="s">
        <v>18</v>
      </c>
      <c r="E19" s="94">
        <v>0.0275</v>
      </c>
      <c r="F19" s="91"/>
      <c r="G19" s="51"/>
      <c r="H19" s="58"/>
      <c r="I19" s="58"/>
      <c r="J19" s="64"/>
      <c r="K19" s="53"/>
      <c r="L19" s="50"/>
      <c r="M19" s="16" t="s">
        <v>18</v>
      </c>
      <c r="N19" s="17">
        <v>0</v>
      </c>
      <c r="O19" s="9"/>
      <c r="P19" s="51"/>
      <c r="Q19" s="51"/>
      <c r="R19" s="51"/>
      <c r="T19" s="50"/>
    </row>
    <row r="20" spans="1:20" ht="12.75">
      <c r="A20" s="49"/>
      <c r="B20" s="50"/>
      <c r="C20" s="50"/>
      <c r="D20" s="93" t="s">
        <v>19</v>
      </c>
      <c r="E20" s="95">
        <f>H7+E18</f>
        <v>0.02737</v>
      </c>
      <c r="F20" s="91" t="s">
        <v>20</v>
      </c>
      <c r="G20" s="51"/>
      <c r="H20" s="58"/>
      <c r="I20" s="58"/>
      <c r="J20" s="64"/>
      <c r="K20" s="53"/>
      <c r="L20" s="50"/>
      <c r="M20" s="16" t="s">
        <v>19</v>
      </c>
      <c r="N20" s="17">
        <v>0.0505</v>
      </c>
      <c r="O20" s="9" t="s">
        <v>20</v>
      </c>
      <c r="P20" s="51"/>
      <c r="Q20" s="51"/>
      <c r="R20" s="51"/>
      <c r="T20" s="50"/>
    </row>
    <row r="21" spans="1:20" ht="13.5" customHeight="1">
      <c r="A21" s="49"/>
      <c r="B21" s="50"/>
      <c r="C21" s="50"/>
      <c r="D21" s="96" t="s">
        <v>21</v>
      </c>
      <c r="E21" s="95">
        <f>IF((H7+E18)&lt;=E19,E19,H7+E18)</f>
        <v>0.0275</v>
      </c>
      <c r="F21" s="91" t="s">
        <v>20</v>
      </c>
      <c r="G21" s="51"/>
      <c r="H21" s="51"/>
      <c r="I21" s="51"/>
      <c r="J21" s="65"/>
      <c r="K21" s="50"/>
      <c r="L21" s="50"/>
      <c r="M21" s="79" t="s">
        <v>21</v>
      </c>
      <c r="N21" s="18">
        <f>IF((H7+N18)&lt;=N19,N19,H7+N18)</f>
        <v>0.023370000000000002</v>
      </c>
      <c r="O21" s="9" t="s">
        <v>20</v>
      </c>
      <c r="P21" s="51"/>
      <c r="Q21" s="51"/>
      <c r="R21" s="51"/>
      <c r="T21" s="50"/>
    </row>
    <row r="22" spans="1:20" ht="13.5" customHeight="1">
      <c r="A22" s="49"/>
      <c r="B22" s="50"/>
      <c r="C22" s="50"/>
      <c r="D22" s="96" t="s">
        <v>52</v>
      </c>
      <c r="E22" s="97">
        <v>0.005</v>
      </c>
      <c r="F22" s="91"/>
      <c r="G22" s="51"/>
      <c r="H22" s="51"/>
      <c r="I22" s="51"/>
      <c r="J22" s="65"/>
      <c r="K22" s="50"/>
      <c r="L22" s="50"/>
      <c r="M22" s="79" t="s">
        <v>52</v>
      </c>
      <c r="N22" s="80">
        <v>0</v>
      </c>
      <c r="O22" s="9"/>
      <c r="P22" s="51"/>
      <c r="Q22" s="51"/>
      <c r="R22" s="51"/>
      <c r="T22" s="50"/>
    </row>
    <row r="23" spans="1:20" ht="13.5" customHeight="1" thickBot="1">
      <c r="A23" s="49"/>
      <c r="B23" s="50"/>
      <c r="C23" s="50"/>
      <c r="D23" s="98" t="s">
        <v>53</v>
      </c>
      <c r="E23" s="99">
        <v>0.005</v>
      </c>
      <c r="F23" s="100"/>
      <c r="G23" s="51"/>
      <c r="H23" s="51"/>
      <c r="I23" s="51"/>
      <c r="J23" s="65"/>
      <c r="K23" s="50"/>
      <c r="L23" s="50"/>
      <c r="M23" s="19" t="s">
        <v>53</v>
      </c>
      <c r="N23" s="81">
        <v>0</v>
      </c>
      <c r="O23" s="20"/>
      <c r="P23" s="51"/>
      <c r="Q23" s="51"/>
      <c r="R23" s="51"/>
      <c r="T23" s="50"/>
    </row>
    <row r="24" spans="1:20" ht="13.5" customHeight="1">
      <c r="A24" s="49"/>
      <c r="B24" s="50"/>
      <c r="C24" s="50"/>
      <c r="D24" s="57"/>
      <c r="E24" s="58"/>
      <c r="F24" s="58"/>
      <c r="G24" s="59"/>
      <c r="H24" s="51"/>
      <c r="I24" s="51"/>
      <c r="J24" s="50"/>
      <c r="K24" s="50"/>
      <c r="L24" s="50"/>
      <c r="M24" s="57"/>
      <c r="N24" s="58"/>
      <c r="O24" s="58"/>
      <c r="P24" s="59"/>
      <c r="Q24" s="51"/>
      <c r="R24" s="51"/>
      <c r="T24" s="50"/>
    </row>
    <row r="25" spans="1:20" ht="18.75" thickBot="1">
      <c r="A25" s="49"/>
      <c r="B25" s="50"/>
      <c r="C25" s="50"/>
      <c r="D25" s="56" t="s">
        <v>45</v>
      </c>
      <c r="E25" s="51"/>
      <c r="F25" s="51"/>
      <c r="G25" s="51"/>
      <c r="H25" s="51"/>
      <c r="I25" s="51"/>
      <c r="J25" s="50"/>
      <c r="K25" s="50"/>
      <c r="L25" s="50"/>
      <c r="M25" s="56" t="s">
        <v>45</v>
      </c>
      <c r="N25" s="51"/>
      <c r="O25" s="51"/>
      <c r="P25" s="51"/>
      <c r="Q25" s="51"/>
      <c r="R25" s="51"/>
      <c r="T25" s="50"/>
    </row>
    <row r="26" spans="1:20" ht="12.75">
      <c r="A26" s="49"/>
      <c r="B26" s="50"/>
      <c r="C26" s="53"/>
      <c r="D26" s="125" t="s">
        <v>47</v>
      </c>
      <c r="E26" s="126"/>
      <c r="F26" s="69">
        <f>+E20/12</f>
        <v>0.002280833333333333</v>
      </c>
      <c r="G26" s="51"/>
      <c r="H26" s="51"/>
      <c r="I26" s="51"/>
      <c r="J26" s="50"/>
      <c r="K26" s="50"/>
      <c r="L26" s="53"/>
      <c r="M26" s="125" t="s">
        <v>47</v>
      </c>
      <c r="N26" s="126"/>
      <c r="O26" s="69">
        <f>IF(N20=0,+N21/12,+N20/12)</f>
        <v>0.004208333333333334</v>
      </c>
      <c r="P26" s="51"/>
      <c r="Q26" s="51"/>
      <c r="R26" s="51"/>
      <c r="T26" s="50"/>
    </row>
    <row r="27" spans="1:20" ht="13.5" thickBot="1">
      <c r="A27" s="49"/>
      <c r="B27" s="50"/>
      <c r="C27" s="53"/>
      <c r="D27" s="127" t="s">
        <v>48</v>
      </c>
      <c r="E27" s="128"/>
      <c r="F27" s="70">
        <f>+E21/12</f>
        <v>0.0022916666666666667</v>
      </c>
      <c r="G27" s="51"/>
      <c r="H27" s="51"/>
      <c r="I27" s="51"/>
      <c r="J27" s="50"/>
      <c r="K27" s="50"/>
      <c r="L27" s="53"/>
      <c r="M27" s="127" t="s">
        <v>48</v>
      </c>
      <c r="N27" s="128"/>
      <c r="O27" s="70">
        <f>+N21/12</f>
        <v>0.0019475000000000002</v>
      </c>
      <c r="P27" s="51"/>
      <c r="Q27" s="51"/>
      <c r="R27" s="51"/>
      <c r="T27" s="50"/>
    </row>
    <row r="28" spans="1:20" ht="18.75" customHeight="1" thickBot="1">
      <c r="A28" s="49"/>
      <c r="B28" s="50"/>
      <c r="C28" s="53"/>
      <c r="D28" s="21" t="s">
        <v>22</v>
      </c>
      <c r="E28" s="123">
        <f>IF(E20=0,E29,PMT(F26,(E30),-E16))</f>
        <v>815.105842586549</v>
      </c>
      <c r="F28" s="124"/>
      <c r="G28" s="51"/>
      <c r="H28" s="51"/>
      <c r="I28" s="51"/>
      <c r="J28" s="66"/>
      <c r="K28" s="50"/>
      <c r="L28" s="53"/>
      <c r="M28" s="21" t="s">
        <v>22</v>
      </c>
      <c r="N28" s="123">
        <f>IF(N20=0,N29,PMT(O26,(N30),-N16))</f>
        <v>1079.7631206403667</v>
      </c>
      <c r="O28" s="124"/>
      <c r="P28" s="51"/>
      <c r="Q28" s="51"/>
      <c r="R28" s="51"/>
      <c r="T28" s="50"/>
    </row>
    <row r="29" spans="1:20" ht="18.75" customHeight="1" thickBot="1">
      <c r="A29" s="49"/>
      <c r="B29" s="50"/>
      <c r="C29" s="53"/>
      <c r="D29" s="21" t="s">
        <v>23</v>
      </c>
      <c r="E29" s="123">
        <f>PMT(F27,(E30),-E16)</f>
        <v>816.4823619977051</v>
      </c>
      <c r="F29" s="124"/>
      <c r="G29" s="51"/>
      <c r="H29" s="51"/>
      <c r="I29" s="51"/>
      <c r="J29" s="50"/>
      <c r="K29" s="50"/>
      <c r="L29" s="53"/>
      <c r="M29" s="21" t="s">
        <v>23</v>
      </c>
      <c r="N29" s="123">
        <f>PMT(O27,(N30),-N16)</f>
        <v>773.3970181413515</v>
      </c>
      <c r="O29" s="124"/>
      <c r="P29" s="51"/>
      <c r="Q29" s="51"/>
      <c r="R29" s="51"/>
      <c r="T29" s="50"/>
    </row>
    <row r="30" spans="1:20" ht="13.5" thickBot="1">
      <c r="A30" s="49"/>
      <c r="B30" s="50"/>
      <c r="C30" s="53"/>
      <c r="D30" s="22" t="s">
        <v>24</v>
      </c>
      <c r="E30" s="23">
        <f>E17*12</f>
        <v>360</v>
      </c>
      <c r="F30" s="24"/>
      <c r="G30" s="51"/>
      <c r="H30" s="51"/>
      <c r="I30" s="51"/>
      <c r="J30" s="50"/>
      <c r="K30" s="50"/>
      <c r="L30" s="53"/>
      <c r="M30" s="22" t="s">
        <v>24</v>
      </c>
      <c r="N30" s="23">
        <f>N17*12</f>
        <v>360</v>
      </c>
      <c r="O30" s="24"/>
      <c r="P30" s="51"/>
      <c r="Q30" s="51"/>
      <c r="R30" s="51"/>
      <c r="T30" s="50"/>
    </row>
    <row r="31" spans="1:20" ht="12.75">
      <c r="A31" s="49"/>
      <c r="B31" s="50"/>
      <c r="C31" s="53"/>
      <c r="D31" s="50"/>
      <c r="E31" s="50"/>
      <c r="F31" s="50"/>
      <c r="G31" s="51"/>
      <c r="H31" s="51"/>
      <c r="I31" s="51"/>
      <c r="J31" s="50"/>
      <c r="K31" s="50"/>
      <c r="L31" s="53"/>
      <c r="M31" s="54"/>
      <c r="N31" s="55"/>
      <c r="O31" s="54"/>
      <c r="P31" s="51"/>
      <c r="Q31" s="51"/>
      <c r="R31" s="51"/>
      <c r="T31" s="50"/>
    </row>
    <row r="32" spans="1:20" ht="18.75" thickBot="1">
      <c r="A32" s="49"/>
      <c r="B32" s="50"/>
      <c r="C32" s="53"/>
      <c r="D32" s="56" t="s">
        <v>35</v>
      </c>
      <c r="E32" s="50"/>
      <c r="F32" s="50"/>
      <c r="G32" s="51"/>
      <c r="H32" s="51"/>
      <c r="I32" s="51"/>
      <c r="J32" s="50"/>
      <c r="K32" s="50"/>
      <c r="L32" s="53"/>
      <c r="M32" s="56" t="s">
        <v>35</v>
      </c>
      <c r="N32" s="50"/>
      <c r="O32" s="50"/>
      <c r="P32" s="51"/>
      <c r="Q32" s="51"/>
      <c r="R32" s="51"/>
      <c r="T32" s="50"/>
    </row>
    <row r="33" spans="1:20" ht="13.5" thickBot="1">
      <c r="A33" s="49"/>
      <c r="B33" s="50"/>
      <c r="C33" s="53"/>
      <c r="D33" s="37"/>
      <c r="E33" s="38" t="s">
        <v>36</v>
      </c>
      <c r="F33" s="39" t="s">
        <v>37</v>
      </c>
      <c r="G33" s="40" t="s">
        <v>38</v>
      </c>
      <c r="H33" s="51"/>
      <c r="I33" s="51"/>
      <c r="J33" s="50"/>
      <c r="K33" s="50"/>
      <c r="L33" s="53"/>
      <c r="M33" s="37"/>
      <c r="N33" s="38" t="s">
        <v>36</v>
      </c>
      <c r="O33" s="39" t="s">
        <v>37</v>
      </c>
      <c r="P33" s="40" t="s">
        <v>38</v>
      </c>
      <c r="Q33" s="51"/>
      <c r="R33" s="51"/>
      <c r="T33" s="50"/>
    </row>
    <row r="34" spans="1:20" ht="13.5" thickBot="1">
      <c r="A34" s="49"/>
      <c r="B34" s="50"/>
      <c r="C34" s="53"/>
      <c r="D34" s="16" t="s">
        <v>39</v>
      </c>
      <c r="E34" s="41">
        <f>IF(G34="Mensual",F34,(IF(G34="Trimestral",F34/3,(IF(G34="Semestral",F34/6,F34/12)))))</f>
        <v>28.076666666666668</v>
      </c>
      <c r="F34" s="42">
        <v>84.23</v>
      </c>
      <c r="G34" s="8" t="s">
        <v>40</v>
      </c>
      <c r="H34" s="51"/>
      <c r="I34" s="51"/>
      <c r="J34" s="50"/>
      <c r="K34" s="50"/>
      <c r="L34" s="53"/>
      <c r="M34" s="16" t="s">
        <v>39</v>
      </c>
      <c r="N34" s="41">
        <f>IF(P34="Mensual",O34,(IF(P34="Trimestral",O34/3,(IF(P34="Semestral",O34/6,O34/12)))))</f>
        <v>0</v>
      </c>
      <c r="O34" s="42">
        <v>0</v>
      </c>
      <c r="P34" s="8" t="s">
        <v>41</v>
      </c>
      <c r="Q34" s="51"/>
      <c r="R34" s="51"/>
      <c r="S34" s="35" t="s">
        <v>41</v>
      </c>
      <c r="T34" s="50"/>
    </row>
    <row r="35" spans="1:20" ht="13.5" thickBot="1">
      <c r="A35" s="49"/>
      <c r="B35" s="50"/>
      <c r="C35" s="53"/>
      <c r="D35" s="43" t="s">
        <v>42</v>
      </c>
      <c r="E35" s="44">
        <f>IF(G35="Mensual",F35,(IF(G35="Trimestral",F35/3,(IF(G35="Semestral",F35/6,F35/12)))))</f>
        <v>25.5</v>
      </c>
      <c r="F35" s="45">
        <v>306</v>
      </c>
      <c r="G35" s="46" t="s">
        <v>20</v>
      </c>
      <c r="H35" s="51"/>
      <c r="I35" s="51"/>
      <c r="J35" s="50"/>
      <c r="K35" s="50"/>
      <c r="L35" s="53"/>
      <c r="M35" s="43" t="s">
        <v>42</v>
      </c>
      <c r="N35" s="44">
        <f>IF(P35="Mensual",O35,(IF(P35="Trimestral",O35/3,(IF(P35="Semestral",O35/6,O35/12)))))</f>
        <v>25</v>
      </c>
      <c r="O35" s="45">
        <v>300</v>
      </c>
      <c r="P35" s="46" t="s">
        <v>20</v>
      </c>
      <c r="Q35" s="51"/>
      <c r="R35" s="51"/>
      <c r="S35" s="35" t="s">
        <v>40</v>
      </c>
      <c r="T35" s="50"/>
    </row>
    <row r="36" spans="1:20" ht="12.75">
      <c r="A36" s="49"/>
      <c r="B36" s="50"/>
      <c r="C36" s="53"/>
      <c r="D36" s="54"/>
      <c r="E36" s="55"/>
      <c r="F36" s="54"/>
      <c r="G36" s="51"/>
      <c r="H36" s="51"/>
      <c r="I36" s="51"/>
      <c r="J36" s="50"/>
      <c r="K36" s="50"/>
      <c r="L36" s="53"/>
      <c r="M36" s="54"/>
      <c r="N36" s="55"/>
      <c r="O36" s="54"/>
      <c r="P36" s="51"/>
      <c r="Q36" s="51"/>
      <c r="R36" s="51"/>
      <c r="S36" s="35" t="s">
        <v>43</v>
      </c>
      <c r="T36" s="50"/>
    </row>
    <row r="37" spans="1:20" ht="18.75" customHeight="1" thickBot="1">
      <c r="A37" s="49"/>
      <c r="B37" s="133" t="s">
        <v>25</v>
      </c>
      <c r="C37" s="133"/>
      <c r="D37" s="133"/>
      <c r="E37" s="133"/>
      <c r="F37" s="133"/>
      <c r="G37" s="133"/>
      <c r="H37" s="133"/>
      <c r="I37" s="74"/>
      <c r="J37" s="50"/>
      <c r="K37" s="133" t="s">
        <v>25</v>
      </c>
      <c r="L37" s="133"/>
      <c r="M37" s="133"/>
      <c r="N37" s="133"/>
      <c r="O37" s="133"/>
      <c r="P37" s="133"/>
      <c r="Q37" s="133"/>
      <c r="R37" s="74"/>
      <c r="S37" s="35" t="s">
        <v>20</v>
      </c>
      <c r="T37" s="50"/>
    </row>
    <row r="38" spans="1:55" s="30" customFormat="1" ht="26.25" thickBot="1">
      <c r="A38" s="115" t="s">
        <v>33</v>
      </c>
      <c r="B38" s="33" t="s">
        <v>26</v>
      </c>
      <c r="C38" s="26" t="s">
        <v>27</v>
      </c>
      <c r="D38" s="27" t="s">
        <v>28</v>
      </c>
      <c r="E38" s="28" t="s">
        <v>29</v>
      </c>
      <c r="F38" s="29" t="s">
        <v>30</v>
      </c>
      <c r="G38" s="29" t="s">
        <v>31</v>
      </c>
      <c r="H38" s="76" t="s">
        <v>49</v>
      </c>
      <c r="I38" s="75"/>
      <c r="J38" s="67"/>
      <c r="K38" s="25" t="s">
        <v>26</v>
      </c>
      <c r="L38" s="26" t="s">
        <v>27</v>
      </c>
      <c r="M38" s="27" t="s">
        <v>28</v>
      </c>
      <c r="N38" s="28" t="s">
        <v>29</v>
      </c>
      <c r="O38" s="29" t="s">
        <v>30</v>
      </c>
      <c r="P38" s="29" t="s">
        <v>31</v>
      </c>
      <c r="Q38" s="76" t="s">
        <v>49</v>
      </c>
      <c r="R38" s="7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</row>
    <row r="39" spans="1:18" ht="13.5" thickBot="1">
      <c r="A39" s="116"/>
      <c r="B39" s="2">
        <v>0</v>
      </c>
      <c r="C39" s="2">
        <v>0</v>
      </c>
      <c r="G39" s="3">
        <f>E16</f>
        <v>200000</v>
      </c>
      <c r="H39" s="31"/>
      <c r="I39" s="32">
        <f>$G$39-SUM($H$39:$H39)</f>
        <v>200000</v>
      </c>
      <c r="J39" s="68"/>
      <c r="K39" s="2">
        <v>0</v>
      </c>
      <c r="L39" s="2">
        <v>0</v>
      </c>
      <c r="P39" s="3">
        <f>N16</f>
        <v>200000</v>
      </c>
      <c r="Q39" s="32"/>
      <c r="R39" s="32">
        <f>$G$39-SUM($Q$39:$Q39)</f>
        <v>200000</v>
      </c>
    </row>
    <row r="40" spans="1:18" ht="12.75">
      <c r="A40" s="34">
        <v>41061</v>
      </c>
      <c r="B40" s="2">
        <f>IF(C40&lt;&gt;" ",INT(C39/12)+1," ")</f>
        <v>1</v>
      </c>
      <c r="C40" s="2">
        <f>IF(CODE(C39)=32," ",IF(AND(C39+1&lt;=$E$30,G39&gt;0),+C39+1," "))</f>
        <v>1</v>
      </c>
      <c r="D40" s="3">
        <f>IF(C40&lt;&gt;" ",IF(G39&lt;D39,G39+E40,PMT($F$26,($E$30),-I39))," ")</f>
        <v>815.105842586549</v>
      </c>
      <c r="E40" s="3">
        <f>IF(C40&lt;&gt;" ",G39*$F$26," ")</f>
        <v>456.16666666666663</v>
      </c>
      <c r="F40" s="3">
        <f>IF(C40&lt;&gt;" ",D40-E40+H40," ")</f>
        <v>358.93917591988236</v>
      </c>
      <c r="G40" s="3">
        <f>IF(C40&lt;&gt;" ",G39-F40," ")</f>
        <v>199641.0608240801</v>
      </c>
      <c r="H40" s="32"/>
      <c r="I40" s="32">
        <f>$G$39-SUM($H$39:$H40)</f>
        <v>200000</v>
      </c>
      <c r="J40" s="68"/>
      <c r="K40" s="2">
        <f>IF(L40&lt;&gt;" ",INT(L39/12)+1," ")</f>
        <v>1</v>
      </c>
      <c r="L40" s="2">
        <f>IF(CODE(L39)=32," ",IF(AND(L39+1&lt;=$E$30,P39&gt;0),+L39+1," "))</f>
        <v>1</v>
      </c>
      <c r="M40" s="3">
        <f>IF(L40&lt;&gt;" ",IF(P39&lt;M39,P39+N40,PMT($O$26,($N$30),-$R39))," ")</f>
        <v>1079.7631206403667</v>
      </c>
      <c r="N40" s="3">
        <f aca="true" t="shared" si="0" ref="N40:N51">IF(L40&lt;&gt;" ",P39*$O$26," ")</f>
        <v>841.6666666666667</v>
      </c>
      <c r="O40" s="3">
        <f>IF(L40&lt;&gt;" ",M40-N40+Q40," ")</f>
        <v>238.0964539736999</v>
      </c>
      <c r="P40" s="3">
        <f>IF(L40&lt;&gt;" ",P39-O40," ")</f>
        <v>199761.9035460263</v>
      </c>
      <c r="Q40" s="32"/>
      <c r="R40" s="32">
        <f>$G$39-SUM($Q$39:$Q40)</f>
        <v>200000</v>
      </c>
    </row>
    <row r="41" spans="1:18" ht="12.75">
      <c r="A41" s="1">
        <f aca="true" t="shared" si="1" ref="A41:A104">IF(B41&lt;&gt;" ",DATE(YEAR(A40),MONTH(A40)+1,DAY(A40)),"")</f>
        <v>41091</v>
      </c>
      <c r="B41" s="2">
        <f aca="true" t="shared" si="2" ref="B41:B104">IF(C41&lt;&gt;" ",INT(C40/12)+1," ")</f>
        <v>1</v>
      </c>
      <c r="C41" s="2">
        <f aca="true" t="shared" si="3" ref="C41:C104">IF(CODE(C40)=32," ",IF(AND(C40+1&lt;=$E$30,G40&gt;0),+C40+1," "))</f>
        <v>2</v>
      </c>
      <c r="D41" s="3">
        <f aca="true" t="shared" si="4" ref="D41:D51">IF(C41&lt;&gt;" ",IF(G40&lt;D40,G40+E41,PMT($F$26,($E$30),-I40))," ")</f>
        <v>815.105842586549</v>
      </c>
      <c r="E41" s="3">
        <f aca="true" t="shared" si="5" ref="E41:E51">IF(C41&lt;&gt;" ",G40*$F$26," ")</f>
        <v>455.3479862295893</v>
      </c>
      <c r="F41" s="3">
        <f aca="true" t="shared" si="6" ref="F41:F104">IF(C41&lt;&gt;" ",D41-E41+H41," ")</f>
        <v>359.7578563569597</v>
      </c>
      <c r="G41" s="3">
        <f aca="true" t="shared" si="7" ref="G41:G104">IF(C41&lt;&gt;" ",G40-F41," ")</f>
        <v>199281.30296772314</v>
      </c>
      <c r="H41" s="32"/>
      <c r="I41" s="32">
        <f>$G$39-SUM($H$39:$H41)</f>
        <v>200000</v>
      </c>
      <c r="J41" s="68"/>
      <c r="K41" s="2">
        <f aca="true" t="shared" si="8" ref="K41:K104">IF(L41&lt;&gt;" ",INT(L40/12)+1," ")</f>
        <v>1</v>
      </c>
      <c r="L41" s="2">
        <f aca="true" t="shared" si="9" ref="L41:L104">IF(CODE(L40)=32," ",IF(AND(L40+1&lt;=$E$30,P40&gt;0),+L40+1," "))</f>
        <v>2</v>
      </c>
      <c r="M41" s="3">
        <f>IF(L41&lt;&gt;" ",IF(P40&lt;M40,P40+N41,PMT($O$26,($N$30),-$R40))," ")</f>
        <v>1079.7631206403667</v>
      </c>
      <c r="N41" s="3">
        <f t="shared" si="0"/>
        <v>840.6646774228608</v>
      </c>
      <c r="O41" s="3">
        <f aca="true" t="shared" si="10" ref="O41:O104">IF(L41&lt;&gt;" ",M41-N41+Q41," ")</f>
        <v>239.09844321750586</v>
      </c>
      <c r="P41" s="3">
        <f aca="true" t="shared" si="11" ref="P41:P104">IF(L41&lt;&gt;" ",P40-O41," ")</f>
        <v>199522.80510280878</v>
      </c>
      <c r="Q41" s="32"/>
      <c r="R41" s="32">
        <f>$G$39-SUM($Q$39:$Q41)</f>
        <v>200000</v>
      </c>
    </row>
    <row r="42" spans="1:18" ht="12.75">
      <c r="A42" s="1">
        <f t="shared" si="1"/>
        <v>41122</v>
      </c>
      <c r="B42" s="2">
        <f t="shared" si="2"/>
        <v>1</v>
      </c>
      <c r="C42" s="2">
        <f t="shared" si="3"/>
        <v>3</v>
      </c>
      <c r="D42" s="3">
        <f t="shared" si="4"/>
        <v>815.105842586549</v>
      </c>
      <c r="E42" s="3">
        <f t="shared" si="5"/>
        <v>454.5274385188818</v>
      </c>
      <c r="F42" s="3">
        <f t="shared" si="6"/>
        <v>360.5784040676672</v>
      </c>
      <c r="G42" s="3">
        <f t="shared" si="7"/>
        <v>198920.72456365547</v>
      </c>
      <c r="H42" s="32"/>
      <c r="I42" s="32">
        <f>$G$39-SUM($H$39:$H42)</f>
        <v>200000</v>
      </c>
      <c r="J42" s="68"/>
      <c r="K42" s="2">
        <f t="shared" si="8"/>
        <v>1</v>
      </c>
      <c r="L42" s="2">
        <f t="shared" si="9"/>
        <v>3</v>
      </c>
      <c r="M42" s="3">
        <f>IF(L42&lt;&gt;" ",IF(P41&lt;M41,P41+N42,PMT($O$26,($N$30),-$R41))," ")</f>
        <v>1079.7631206403667</v>
      </c>
      <c r="N42" s="3">
        <f t="shared" si="0"/>
        <v>839.6584714743204</v>
      </c>
      <c r="O42" s="3">
        <f t="shared" si="10"/>
        <v>240.10464916604622</v>
      </c>
      <c r="P42" s="3">
        <f t="shared" si="11"/>
        <v>199282.70045364273</v>
      </c>
      <c r="Q42" s="32"/>
      <c r="R42" s="32">
        <f>$G$39-SUM($Q$39:$Q42)</f>
        <v>200000</v>
      </c>
    </row>
    <row r="43" spans="1:18" ht="12.75">
      <c r="A43" s="1">
        <f t="shared" si="1"/>
        <v>41153</v>
      </c>
      <c r="B43" s="2">
        <f t="shared" si="2"/>
        <v>1</v>
      </c>
      <c r="C43" s="2">
        <f t="shared" si="3"/>
        <v>4</v>
      </c>
      <c r="D43" s="3">
        <f t="shared" si="4"/>
        <v>815.105842586549</v>
      </c>
      <c r="E43" s="3">
        <f t="shared" si="5"/>
        <v>453.7050192756041</v>
      </c>
      <c r="F43" s="3">
        <f t="shared" si="6"/>
        <v>361.4008233109449</v>
      </c>
      <c r="G43" s="3">
        <f t="shared" si="7"/>
        <v>198559.32374034452</v>
      </c>
      <c r="H43" s="32"/>
      <c r="I43" s="32">
        <f>$G$39-SUM($H$39:$H43)</f>
        <v>200000</v>
      </c>
      <c r="J43" s="68"/>
      <c r="K43" s="2">
        <f t="shared" si="8"/>
        <v>1</v>
      </c>
      <c r="L43" s="2">
        <f t="shared" si="9"/>
        <v>4</v>
      </c>
      <c r="M43" s="3">
        <f>IF(L43&lt;&gt;" ",IF(P42&lt;M42,P42+N43,PMT($O$26,($N$30),-$R42))," ")</f>
        <v>1079.7631206403667</v>
      </c>
      <c r="N43" s="3">
        <f t="shared" si="0"/>
        <v>838.6480310757465</v>
      </c>
      <c r="O43" s="3">
        <f t="shared" si="10"/>
        <v>241.11508956462012</v>
      </c>
      <c r="P43" s="3">
        <f t="shared" si="11"/>
        <v>199041.5853640781</v>
      </c>
      <c r="Q43" s="32"/>
      <c r="R43" s="32">
        <f>$G$39-SUM($Q$39:$Q43)</f>
        <v>200000</v>
      </c>
    </row>
    <row r="44" spans="1:18" ht="12.75">
      <c r="A44" s="1">
        <f t="shared" si="1"/>
        <v>41183</v>
      </c>
      <c r="B44" s="2">
        <f t="shared" si="2"/>
        <v>1</v>
      </c>
      <c r="C44" s="2">
        <f t="shared" si="3"/>
        <v>5</v>
      </c>
      <c r="D44" s="3">
        <f t="shared" si="4"/>
        <v>815.105842586549</v>
      </c>
      <c r="E44" s="3">
        <f t="shared" si="5"/>
        <v>452.8807242311024</v>
      </c>
      <c r="F44" s="3">
        <f t="shared" si="6"/>
        <v>362.22511835544657</v>
      </c>
      <c r="G44" s="3">
        <f t="shared" si="7"/>
        <v>198197.09862198908</v>
      </c>
      <c r="H44" s="32"/>
      <c r="I44" s="32">
        <f>$G$39-SUM($H$39:$H44)</f>
        <v>200000</v>
      </c>
      <c r="J44" s="68"/>
      <c r="K44" s="2">
        <f t="shared" si="8"/>
        <v>1</v>
      </c>
      <c r="L44" s="2">
        <f t="shared" si="9"/>
        <v>5</v>
      </c>
      <c r="M44" s="3">
        <f>IF(L44&lt;&gt;" ",IF(P43&lt;M43,P43+N44,PMT($O$26,($N$30),-$R43))," ")</f>
        <v>1079.7631206403667</v>
      </c>
      <c r="N44" s="3">
        <f t="shared" si="0"/>
        <v>837.6333384071622</v>
      </c>
      <c r="O44" s="3">
        <f t="shared" si="10"/>
        <v>242.12978223320442</v>
      </c>
      <c r="P44" s="3">
        <f t="shared" si="11"/>
        <v>198799.4555818449</v>
      </c>
      <c r="Q44" s="32"/>
      <c r="R44" s="32">
        <f>$G$39-SUM($Q$39:$Q44)</f>
        <v>200000</v>
      </c>
    </row>
    <row r="45" spans="1:18" ht="12.75">
      <c r="A45" s="1">
        <f t="shared" si="1"/>
        <v>41214</v>
      </c>
      <c r="B45" s="2">
        <f t="shared" si="2"/>
        <v>1</v>
      </c>
      <c r="C45" s="2">
        <f t="shared" si="3"/>
        <v>6</v>
      </c>
      <c r="D45" s="3">
        <f t="shared" si="4"/>
        <v>815.105842586549</v>
      </c>
      <c r="E45" s="3">
        <f t="shared" si="5"/>
        <v>452.0545491069867</v>
      </c>
      <c r="F45" s="3">
        <f t="shared" si="6"/>
        <v>363.0512934795623</v>
      </c>
      <c r="G45" s="3">
        <f t="shared" si="7"/>
        <v>197834.0473285095</v>
      </c>
      <c r="H45" s="32"/>
      <c r="I45" s="32">
        <f>$G$39-SUM($H$39:$H45)</f>
        <v>200000</v>
      </c>
      <c r="J45" s="68"/>
      <c r="K45" s="2">
        <f t="shared" si="8"/>
        <v>1</v>
      </c>
      <c r="L45" s="2">
        <f t="shared" si="9"/>
        <v>6</v>
      </c>
      <c r="M45" s="3">
        <f>IF(L45&lt;&gt;" ",IF(P44&lt;M44,P44+N45,PMT($O$26,($N$30),-$R44))," ")</f>
        <v>1079.7631206403667</v>
      </c>
      <c r="N45" s="3">
        <f t="shared" si="0"/>
        <v>836.6143755735974</v>
      </c>
      <c r="O45" s="3">
        <f t="shared" si="10"/>
        <v>243.14874506676927</v>
      </c>
      <c r="P45" s="3">
        <f t="shared" si="11"/>
        <v>198556.30683677812</v>
      </c>
      <c r="Q45" s="32"/>
      <c r="R45" s="32">
        <f>$G$39-SUM($Q$39:$Q45)</f>
        <v>200000</v>
      </c>
    </row>
    <row r="46" spans="1:18" ht="12.75">
      <c r="A46" s="1">
        <f t="shared" si="1"/>
        <v>41244</v>
      </c>
      <c r="B46" s="2">
        <f t="shared" si="2"/>
        <v>1</v>
      </c>
      <c r="C46" s="2">
        <f t="shared" si="3"/>
        <v>7</v>
      </c>
      <c r="D46" s="3">
        <f t="shared" si="4"/>
        <v>815.105842586549</v>
      </c>
      <c r="E46" s="3">
        <f t="shared" si="5"/>
        <v>451.22648961510873</v>
      </c>
      <c r="F46" s="3">
        <f t="shared" si="6"/>
        <v>363.87935297144026</v>
      </c>
      <c r="G46" s="3">
        <f t="shared" si="7"/>
        <v>197470.16797553806</v>
      </c>
      <c r="H46" s="32"/>
      <c r="I46" s="32">
        <f>$G$39-SUM($H$39:$H46)</f>
        <v>200000</v>
      </c>
      <c r="J46" s="68"/>
      <c r="K46" s="2">
        <f t="shared" si="8"/>
        <v>1</v>
      </c>
      <c r="L46" s="2">
        <f t="shared" si="9"/>
        <v>7</v>
      </c>
      <c r="M46" s="3">
        <f>IF(L46&lt;&gt;" ",IF(P45&lt;M45,P45+N46,PMT($O$26,($N$30),-$R45))," ")</f>
        <v>1079.7631206403667</v>
      </c>
      <c r="N46" s="3">
        <f t="shared" si="0"/>
        <v>835.5911246047747</v>
      </c>
      <c r="O46" s="3">
        <f t="shared" si="10"/>
        <v>244.17199603559197</v>
      </c>
      <c r="P46" s="3">
        <f t="shared" si="11"/>
        <v>198312.13484074254</v>
      </c>
      <c r="Q46" s="32"/>
      <c r="R46" s="32">
        <f>$G$39-SUM($Q$39:$Q46)</f>
        <v>200000</v>
      </c>
    </row>
    <row r="47" spans="1:18" ht="12.75">
      <c r="A47" s="1">
        <f t="shared" si="1"/>
        <v>41275</v>
      </c>
      <c r="B47" s="2">
        <f t="shared" si="2"/>
        <v>1</v>
      </c>
      <c r="C47" s="2">
        <f t="shared" si="3"/>
        <v>8</v>
      </c>
      <c r="D47" s="3">
        <f t="shared" si="4"/>
        <v>815.105842586549</v>
      </c>
      <c r="E47" s="3">
        <f t="shared" si="5"/>
        <v>450.3965414575397</v>
      </c>
      <c r="F47" s="3">
        <f t="shared" si="6"/>
        <v>364.7093011290093</v>
      </c>
      <c r="G47" s="3">
        <f t="shared" si="7"/>
        <v>197105.45867440905</v>
      </c>
      <c r="H47" s="32"/>
      <c r="I47" s="32">
        <f>$G$39-SUM($H$39:$H47)</f>
        <v>200000</v>
      </c>
      <c r="J47" s="68"/>
      <c r="K47" s="2">
        <f t="shared" si="8"/>
        <v>1</v>
      </c>
      <c r="L47" s="2">
        <f t="shared" si="9"/>
        <v>8</v>
      </c>
      <c r="M47" s="3">
        <f>IF(L47&lt;&gt;" ",IF(P46&lt;M46,P46+N47,PMT($O$26,($N$30),-$R46))," ")</f>
        <v>1079.7631206403667</v>
      </c>
      <c r="N47" s="3">
        <f t="shared" si="0"/>
        <v>834.5635674547916</v>
      </c>
      <c r="O47" s="3">
        <f t="shared" si="10"/>
        <v>245.19955318557504</v>
      </c>
      <c r="P47" s="3">
        <f t="shared" si="11"/>
        <v>198066.93528755696</v>
      </c>
      <c r="Q47" s="32"/>
      <c r="R47" s="32">
        <f>$G$39-SUM($Q$39:$Q47)</f>
        <v>200000</v>
      </c>
    </row>
    <row r="48" spans="1:18" ht="12.75">
      <c r="A48" s="1">
        <f t="shared" si="1"/>
        <v>41306</v>
      </c>
      <c r="B48" s="2">
        <f t="shared" si="2"/>
        <v>1</v>
      </c>
      <c r="C48" s="2">
        <f t="shared" si="3"/>
        <v>9</v>
      </c>
      <c r="D48" s="3">
        <f t="shared" si="4"/>
        <v>815.105842586549</v>
      </c>
      <c r="E48" s="3">
        <f t="shared" si="5"/>
        <v>449.5647003265479</v>
      </c>
      <c r="F48" s="3">
        <f t="shared" si="6"/>
        <v>365.5411422600011</v>
      </c>
      <c r="G48" s="3">
        <f t="shared" si="7"/>
        <v>196739.91753214903</v>
      </c>
      <c r="H48" s="32"/>
      <c r="I48" s="32">
        <f>$G$39-SUM($H$39:$H48)</f>
        <v>200000</v>
      </c>
      <c r="J48" s="68"/>
      <c r="K48" s="2">
        <f t="shared" si="8"/>
        <v>1</v>
      </c>
      <c r="L48" s="2">
        <f t="shared" si="9"/>
        <v>9</v>
      </c>
      <c r="M48" s="3">
        <f>IF(L48&lt;&gt;" ",IF(P47&lt;M47,P47+N48,PMT($O$26,($N$30),-$R47))," ")</f>
        <v>1079.7631206403667</v>
      </c>
      <c r="N48" s="3">
        <f t="shared" si="0"/>
        <v>833.5316860018023</v>
      </c>
      <c r="O48" s="3">
        <f t="shared" si="10"/>
        <v>246.23143463856434</v>
      </c>
      <c r="P48" s="3">
        <f t="shared" si="11"/>
        <v>197820.7038529184</v>
      </c>
      <c r="Q48" s="32"/>
      <c r="R48" s="32">
        <f>$G$39-SUM($Q$39:$Q48)</f>
        <v>200000</v>
      </c>
    </row>
    <row r="49" spans="1:18" ht="12.75">
      <c r="A49" s="1">
        <f t="shared" si="1"/>
        <v>41334</v>
      </c>
      <c r="B49" s="2">
        <f t="shared" si="2"/>
        <v>1</v>
      </c>
      <c r="C49" s="2">
        <f t="shared" si="3"/>
        <v>10</v>
      </c>
      <c r="D49" s="3">
        <f t="shared" si="4"/>
        <v>815.105842586549</v>
      </c>
      <c r="E49" s="3">
        <f t="shared" si="5"/>
        <v>448.73096190457653</v>
      </c>
      <c r="F49" s="3">
        <f t="shared" si="6"/>
        <v>366.37488068197246</v>
      </c>
      <c r="G49" s="3">
        <f t="shared" si="7"/>
        <v>196373.54265146705</v>
      </c>
      <c r="H49" s="32"/>
      <c r="I49" s="32">
        <f>$G$39-SUM($H$39:$H49)</f>
        <v>200000</v>
      </c>
      <c r="J49" s="68"/>
      <c r="K49" s="2">
        <f t="shared" si="8"/>
        <v>1</v>
      </c>
      <c r="L49" s="2">
        <f t="shared" si="9"/>
        <v>10</v>
      </c>
      <c r="M49" s="3">
        <f>IF(L49&lt;&gt;" ",IF(P48&lt;M48,P48+N49,PMT($O$26,($N$30),-$R48))," ")</f>
        <v>1079.7631206403667</v>
      </c>
      <c r="N49" s="3">
        <f t="shared" si="0"/>
        <v>832.4954620476984</v>
      </c>
      <c r="O49" s="3">
        <f t="shared" si="10"/>
        <v>247.26765859266823</v>
      </c>
      <c r="P49" s="3">
        <f t="shared" si="11"/>
        <v>197573.43619432574</v>
      </c>
      <c r="Q49" s="32"/>
      <c r="R49" s="32">
        <f>$G$39-SUM($Q$39:$Q49)</f>
        <v>200000</v>
      </c>
    </row>
    <row r="50" spans="1:18" ht="12.75">
      <c r="A50" s="1">
        <f t="shared" si="1"/>
        <v>41365</v>
      </c>
      <c r="B50" s="2">
        <f t="shared" si="2"/>
        <v>1</v>
      </c>
      <c r="C50" s="2">
        <f t="shared" si="3"/>
        <v>11</v>
      </c>
      <c r="D50" s="3">
        <f t="shared" si="4"/>
        <v>815.105842586549</v>
      </c>
      <c r="E50" s="3">
        <f t="shared" si="5"/>
        <v>447.89532186422105</v>
      </c>
      <c r="F50" s="3">
        <f t="shared" si="6"/>
        <v>367.21052072232794</v>
      </c>
      <c r="G50" s="3">
        <f t="shared" si="7"/>
        <v>196006.33213074473</v>
      </c>
      <c r="H50" s="32"/>
      <c r="I50" s="32">
        <f>$G$39-SUM($H$39:$H50)</f>
        <v>200000</v>
      </c>
      <c r="J50" s="68"/>
      <c r="K50" s="2">
        <f t="shared" si="8"/>
        <v>1</v>
      </c>
      <c r="L50" s="2">
        <f t="shared" si="9"/>
        <v>11</v>
      </c>
      <c r="M50" s="3">
        <f>IF(L50&lt;&gt;" ",IF(P49&lt;M49,P49+N50,PMT($O$26,($N$30),-$R49))," ")</f>
        <v>1079.7631206403667</v>
      </c>
      <c r="N50" s="3">
        <f t="shared" si="0"/>
        <v>831.4548773177876</v>
      </c>
      <c r="O50" s="3">
        <f t="shared" si="10"/>
        <v>248.30824332257907</v>
      </c>
      <c r="P50" s="3">
        <f t="shared" si="11"/>
        <v>197325.12795100315</v>
      </c>
      <c r="Q50" s="32"/>
      <c r="R50" s="32">
        <f>$G$39-SUM($Q$39:$Q50)</f>
        <v>200000</v>
      </c>
    </row>
    <row r="51" spans="1:18" ht="12.75">
      <c r="A51" s="1">
        <f t="shared" si="1"/>
        <v>41395</v>
      </c>
      <c r="B51" s="2">
        <f t="shared" si="2"/>
        <v>1</v>
      </c>
      <c r="C51" s="2">
        <f t="shared" si="3"/>
        <v>12</v>
      </c>
      <c r="D51" s="3">
        <f t="shared" si="4"/>
        <v>815.105842586549</v>
      </c>
      <c r="E51" s="3">
        <f t="shared" si="5"/>
        <v>447.0577758682069</v>
      </c>
      <c r="F51" s="3">
        <f t="shared" si="6"/>
        <v>368.0480667183421</v>
      </c>
      <c r="G51" s="3">
        <f t="shared" si="7"/>
        <v>195638.2840640264</v>
      </c>
      <c r="H51" s="32"/>
      <c r="I51" s="32">
        <f>$G$39-SUM($H$39:$H51)</f>
        <v>200000</v>
      </c>
      <c r="J51" s="68"/>
      <c r="K51" s="2">
        <f t="shared" si="8"/>
        <v>1</v>
      </c>
      <c r="L51" s="2">
        <f t="shared" si="9"/>
        <v>12</v>
      </c>
      <c r="M51" s="3">
        <f>IF(L51&lt;&gt;" ",IF(P50&lt;M50,P50+N51,PMT($O$26,($N$30),-$R50))," ")</f>
        <v>1079.7631206403667</v>
      </c>
      <c r="N51" s="3">
        <f t="shared" si="0"/>
        <v>830.4099134604717</v>
      </c>
      <c r="O51" s="3">
        <f t="shared" si="10"/>
        <v>249.35320717989498</v>
      </c>
      <c r="P51" s="3">
        <f t="shared" si="11"/>
        <v>197075.77474382325</v>
      </c>
      <c r="Q51" s="32"/>
      <c r="R51" s="32">
        <f>$G$39-SUM($Q$39:$Q51)</f>
        <v>200000</v>
      </c>
    </row>
    <row r="52" spans="1:18" ht="12.75">
      <c r="A52" s="1">
        <f t="shared" si="1"/>
        <v>41426</v>
      </c>
      <c r="B52" s="2">
        <f t="shared" si="2"/>
        <v>2</v>
      </c>
      <c r="C52" s="2">
        <f t="shared" si="3"/>
        <v>13</v>
      </c>
      <c r="D52" s="3">
        <f>IF(C52&lt;&gt;" ",IF(G51&lt;D51,G51+E52,PMT($F$27,($E$30),-I51))," ")</f>
        <v>816.4823619977051</v>
      </c>
      <c r="E52" s="3">
        <f>IF(C52&lt;&gt;" ",G51*$F$27," ")</f>
        <v>448.33773431339387</v>
      </c>
      <c r="F52" s="3">
        <f t="shared" si="6"/>
        <v>368.1446276843112</v>
      </c>
      <c r="G52" s="3">
        <f t="shared" si="7"/>
        <v>195270.13943634208</v>
      </c>
      <c r="H52" s="32"/>
      <c r="I52" s="32">
        <f>$G$39-SUM($H$39:$H52)</f>
        <v>200000</v>
      </c>
      <c r="J52" s="68"/>
      <c r="K52" s="2">
        <f t="shared" si="8"/>
        <v>2</v>
      </c>
      <c r="L52" s="2">
        <f t="shared" si="9"/>
        <v>13</v>
      </c>
      <c r="M52" s="3">
        <f>IF(L52&lt;&gt;" ",IF(P51&lt;M51,P51+N52,PMT($O$27,($N$30),-$R51))," ")</f>
        <v>773.3970181413515</v>
      </c>
      <c r="N52" s="3">
        <f>IF(L52&lt;&gt;" ",P51*$O$27," ")</f>
        <v>383.8050713135958</v>
      </c>
      <c r="O52" s="3">
        <f t="shared" si="10"/>
        <v>389.5919468277557</v>
      </c>
      <c r="P52" s="3">
        <f t="shared" si="11"/>
        <v>196686.1827969955</v>
      </c>
      <c r="Q52" s="32"/>
      <c r="R52" s="32">
        <f>$G$39-SUM($Q$39:$Q52)</f>
        <v>200000</v>
      </c>
    </row>
    <row r="53" spans="1:18" ht="12.75">
      <c r="A53" s="1">
        <f t="shared" si="1"/>
        <v>41456</v>
      </c>
      <c r="B53" s="2">
        <f t="shared" si="2"/>
        <v>2</v>
      </c>
      <c r="C53" s="2">
        <f t="shared" si="3"/>
        <v>14</v>
      </c>
      <c r="D53" s="3">
        <f>IF(C53&lt;&gt;" ",IF(G52&lt;D52,G52+E53,PMT($F$27,($E$30),-I52))," ")</f>
        <v>816.4823619977051</v>
      </c>
      <c r="E53" s="3">
        <f aca="true" t="shared" si="12" ref="E53:E116">IF(C53&lt;&gt;" ",G52*$F$27," ")</f>
        <v>447.49406954161725</v>
      </c>
      <c r="F53" s="3">
        <f t="shared" si="6"/>
        <v>368.98829245608783</v>
      </c>
      <c r="G53" s="3">
        <f t="shared" si="7"/>
        <v>194901.151143886</v>
      </c>
      <c r="H53" s="32"/>
      <c r="I53" s="32">
        <f>$G$39-SUM($H$39:$H53)</f>
        <v>200000</v>
      </c>
      <c r="J53" s="68"/>
      <c r="K53" s="2">
        <f t="shared" si="8"/>
        <v>2</v>
      </c>
      <c r="L53" s="2">
        <f t="shared" si="9"/>
        <v>14</v>
      </c>
      <c r="M53" s="3">
        <f>IF(L53&lt;&gt;" ",IF(P52&lt;M52,P52+N53,PMT($O$27,($N$30),-$R52))," ")</f>
        <v>773.3970181413515</v>
      </c>
      <c r="N53" s="3">
        <f aca="true" t="shared" si="13" ref="N53:N116">IF(L53&lt;&gt;" ",P52*$O$27," ")</f>
        <v>383.0463409971488</v>
      </c>
      <c r="O53" s="3">
        <f t="shared" si="10"/>
        <v>390.35067714420273</v>
      </c>
      <c r="P53" s="3">
        <f t="shared" si="11"/>
        <v>196295.83211985131</v>
      </c>
      <c r="Q53" s="32"/>
      <c r="R53" s="32">
        <f>$G$39-SUM($Q$39:$Q53)</f>
        <v>200000</v>
      </c>
    </row>
    <row r="54" spans="1:18" ht="12.75">
      <c r="A54" s="1">
        <f t="shared" si="1"/>
        <v>41487</v>
      </c>
      <c r="B54" s="2">
        <f t="shared" si="2"/>
        <v>2</v>
      </c>
      <c r="C54" s="2">
        <f t="shared" si="3"/>
        <v>15</v>
      </c>
      <c r="D54" s="3">
        <f>IF(C54&lt;&gt;" ",IF(G53&lt;D53,G53+E54,PMT($F$27,($E$30),-I53))," ")</f>
        <v>816.4823619977051</v>
      </c>
      <c r="E54" s="3">
        <f t="shared" si="12"/>
        <v>446.64847137140544</v>
      </c>
      <c r="F54" s="3">
        <f t="shared" si="6"/>
        <v>369.83389062629965</v>
      </c>
      <c r="G54" s="3">
        <f t="shared" si="7"/>
        <v>194531.3172532597</v>
      </c>
      <c r="H54" s="32"/>
      <c r="I54" s="32">
        <f>$G$39-SUM($H$39:$H54)</f>
        <v>200000</v>
      </c>
      <c r="J54" s="68"/>
      <c r="K54" s="2">
        <f t="shared" si="8"/>
        <v>2</v>
      </c>
      <c r="L54" s="2">
        <f t="shared" si="9"/>
        <v>15</v>
      </c>
      <c r="M54" s="3">
        <f>IF(L54&lt;&gt;" ",IF(P53&lt;M53,P53+N54,PMT($O$27,($N$30),-$R53))," ")</f>
        <v>773.3970181413515</v>
      </c>
      <c r="N54" s="3">
        <f t="shared" si="13"/>
        <v>382.2861330534105</v>
      </c>
      <c r="O54" s="3">
        <f t="shared" si="10"/>
        <v>391.110885087941</v>
      </c>
      <c r="P54" s="3">
        <f t="shared" si="11"/>
        <v>195904.72123476336</v>
      </c>
      <c r="Q54" s="32"/>
      <c r="R54" s="32">
        <f>$G$39-SUM($Q$39:$Q54)</f>
        <v>200000</v>
      </c>
    </row>
    <row r="55" spans="1:18" ht="12.75">
      <c r="A55" s="1">
        <f t="shared" si="1"/>
        <v>41518</v>
      </c>
      <c r="B55" s="2">
        <f t="shared" si="2"/>
        <v>2</v>
      </c>
      <c r="C55" s="2">
        <f t="shared" si="3"/>
        <v>16</v>
      </c>
      <c r="D55" s="3">
        <f>IF(C55&lt;&gt;" ",IF(G54&lt;D54,G54+E55,PMT($F$27,($E$30),-I54))," ")</f>
        <v>816.4823619977051</v>
      </c>
      <c r="E55" s="3">
        <f t="shared" si="12"/>
        <v>445.8009353720535</v>
      </c>
      <c r="F55" s="3">
        <f t="shared" si="6"/>
        <v>370.68142662565157</v>
      </c>
      <c r="G55" s="3">
        <f t="shared" si="7"/>
        <v>194160.63582663407</v>
      </c>
      <c r="H55" s="32"/>
      <c r="I55" s="32">
        <f>$G$39-SUM($H$39:$H55)</f>
        <v>200000</v>
      </c>
      <c r="J55" s="68"/>
      <c r="K55" s="2">
        <f t="shared" si="8"/>
        <v>2</v>
      </c>
      <c r="L55" s="2">
        <f t="shared" si="9"/>
        <v>16</v>
      </c>
      <c r="M55" s="3">
        <f>IF(L55&lt;&gt;" ",IF(P54&lt;M54,P54+N55,PMT($O$27,($N$30),-$R54))," ")</f>
        <v>773.3970181413515</v>
      </c>
      <c r="N55" s="3">
        <f t="shared" si="13"/>
        <v>381.52444460470167</v>
      </c>
      <c r="O55" s="3">
        <f t="shared" si="10"/>
        <v>391.87257353664984</v>
      </c>
      <c r="P55" s="3">
        <f t="shared" si="11"/>
        <v>195512.84866122672</v>
      </c>
      <c r="Q55" s="32"/>
      <c r="R55" s="32">
        <f>$G$39-SUM($Q$39:$Q55)</f>
        <v>200000</v>
      </c>
    </row>
    <row r="56" spans="1:18" ht="12.75">
      <c r="A56" s="1">
        <f t="shared" si="1"/>
        <v>41548</v>
      </c>
      <c r="B56" s="2">
        <f t="shared" si="2"/>
        <v>2</v>
      </c>
      <c r="C56" s="2">
        <f t="shared" si="3"/>
        <v>17</v>
      </c>
      <c r="D56" s="3">
        <f aca="true" t="shared" si="14" ref="D56:D119">IF(C56&lt;&gt;" ",IF(G55&lt;D55,G55+E56,PMT($F$27,($E$30),-I55))," ")</f>
        <v>816.4823619977051</v>
      </c>
      <c r="E56" s="3">
        <f t="shared" si="12"/>
        <v>444.9514571027031</v>
      </c>
      <c r="F56" s="3">
        <f t="shared" si="6"/>
        <v>371.530904895002</v>
      </c>
      <c r="G56" s="3">
        <f t="shared" si="7"/>
        <v>193789.10492173905</v>
      </c>
      <c r="H56" s="32"/>
      <c r="I56" s="32">
        <f>$G$39-SUM($H$39:$H56)</f>
        <v>200000</v>
      </c>
      <c r="J56" s="68"/>
      <c r="K56" s="2">
        <f t="shared" si="8"/>
        <v>2</v>
      </c>
      <c r="L56" s="2">
        <f t="shared" si="9"/>
        <v>17</v>
      </c>
      <c r="M56" s="3">
        <f>IF(L56&lt;&gt;" ",IF(P55&lt;M55,P55+N56,PMT($O$27,($N$30),-$R55))," ")</f>
        <v>773.3970181413515</v>
      </c>
      <c r="N56" s="3">
        <f t="shared" si="13"/>
        <v>380.76127276773906</v>
      </c>
      <c r="O56" s="3">
        <f t="shared" si="10"/>
        <v>392.63574537361245</v>
      </c>
      <c r="P56" s="3">
        <f t="shared" si="11"/>
        <v>195120.2129158531</v>
      </c>
      <c r="Q56" s="32"/>
      <c r="R56" s="32">
        <f>$G$39-SUM($Q$39:$Q56)</f>
        <v>200000</v>
      </c>
    </row>
    <row r="57" spans="1:18" ht="12.75">
      <c r="A57" s="1">
        <f t="shared" si="1"/>
        <v>41579</v>
      </c>
      <c r="B57" s="2">
        <f t="shared" si="2"/>
        <v>2</v>
      </c>
      <c r="C57" s="2">
        <f t="shared" si="3"/>
        <v>18</v>
      </c>
      <c r="D57" s="3">
        <f t="shared" si="14"/>
        <v>816.4823619977051</v>
      </c>
      <c r="E57" s="3">
        <f t="shared" si="12"/>
        <v>444.1000321123187</v>
      </c>
      <c r="F57" s="3">
        <f t="shared" si="6"/>
        <v>372.3823298853864</v>
      </c>
      <c r="G57" s="3">
        <f t="shared" si="7"/>
        <v>193416.72259185367</v>
      </c>
      <c r="H57" s="32"/>
      <c r="I57" s="32">
        <f>$G$39-SUM($H$39:$H57)</f>
        <v>200000</v>
      </c>
      <c r="J57" s="68"/>
      <c r="K57" s="2">
        <f t="shared" si="8"/>
        <v>2</v>
      </c>
      <c r="L57" s="2">
        <f t="shared" si="9"/>
        <v>18</v>
      </c>
      <c r="M57" s="3">
        <f>IF(L57&lt;&gt;" ",IF(P56&lt;M56,P56+N57,PMT($O$27,($N$30),-$R56))," ")</f>
        <v>773.3970181413515</v>
      </c>
      <c r="N57" s="3">
        <f t="shared" si="13"/>
        <v>379.99661465362396</v>
      </c>
      <c r="O57" s="3">
        <f t="shared" si="10"/>
        <v>393.40040348772754</v>
      </c>
      <c r="P57" s="3">
        <f t="shared" si="11"/>
        <v>194726.81251236537</v>
      </c>
      <c r="Q57" s="32"/>
      <c r="R57" s="32">
        <f>$G$39-SUM($Q$39:$Q57)</f>
        <v>200000</v>
      </c>
    </row>
    <row r="58" spans="1:18" ht="12.75">
      <c r="A58" s="1">
        <f t="shared" si="1"/>
        <v>41609</v>
      </c>
      <c r="B58" s="2">
        <f t="shared" si="2"/>
        <v>2</v>
      </c>
      <c r="C58" s="2">
        <f t="shared" si="3"/>
        <v>19</v>
      </c>
      <c r="D58" s="3">
        <f t="shared" si="14"/>
        <v>816.4823619977051</v>
      </c>
      <c r="E58" s="3">
        <f t="shared" si="12"/>
        <v>443.24665593966466</v>
      </c>
      <c r="F58" s="3">
        <f t="shared" si="6"/>
        <v>373.2357060580404</v>
      </c>
      <c r="G58" s="3">
        <f t="shared" si="7"/>
        <v>193043.48688579563</v>
      </c>
      <c r="H58" s="32"/>
      <c r="I58" s="32">
        <f>$G$39-SUM($H$39:$H58)</f>
        <v>200000</v>
      </c>
      <c r="J58" s="68"/>
      <c r="K58" s="2">
        <f t="shared" si="8"/>
        <v>2</v>
      </c>
      <c r="L58" s="2">
        <f t="shared" si="9"/>
        <v>19</v>
      </c>
      <c r="M58" s="3">
        <f>IF(L58&lt;&gt;" ",IF(P57&lt;M57,P57+N58,PMT($O$27,($N$30),-$R57))," ")</f>
        <v>773.3970181413515</v>
      </c>
      <c r="N58" s="3">
        <f t="shared" si="13"/>
        <v>379.23046736783164</v>
      </c>
      <c r="O58" s="3">
        <f t="shared" si="10"/>
        <v>394.1665507735199</v>
      </c>
      <c r="P58" s="3">
        <f t="shared" si="11"/>
        <v>194332.64596159186</v>
      </c>
      <c r="Q58" s="32"/>
      <c r="R58" s="32">
        <f>$G$39-SUM($Q$39:$Q58)</f>
        <v>200000</v>
      </c>
    </row>
    <row r="59" spans="1:18" ht="12.75">
      <c r="A59" s="1">
        <f t="shared" si="1"/>
        <v>41640</v>
      </c>
      <c r="B59" s="2">
        <f t="shared" si="2"/>
        <v>2</v>
      </c>
      <c r="C59" s="2">
        <f t="shared" si="3"/>
        <v>20</v>
      </c>
      <c r="D59" s="3">
        <f t="shared" si="14"/>
        <v>816.4823619977051</v>
      </c>
      <c r="E59" s="3">
        <f t="shared" si="12"/>
        <v>442.39132411328166</v>
      </c>
      <c r="F59" s="3">
        <f t="shared" si="6"/>
        <v>374.09103788442343</v>
      </c>
      <c r="G59" s="3">
        <f t="shared" si="7"/>
        <v>192669.39584791122</v>
      </c>
      <c r="H59" s="32"/>
      <c r="I59" s="32">
        <f>$G$39-SUM($H$39:$H59)</f>
        <v>200000</v>
      </c>
      <c r="J59" s="68"/>
      <c r="K59" s="2">
        <f t="shared" si="8"/>
        <v>2</v>
      </c>
      <c r="L59" s="2">
        <f t="shared" si="9"/>
        <v>20</v>
      </c>
      <c r="M59" s="3">
        <f>IF(L59&lt;&gt;" ",IF(P58&lt;M58,P58+N59,PMT($O$27,($N$30),-$R58))," ")</f>
        <v>773.3970181413515</v>
      </c>
      <c r="N59" s="3">
        <f t="shared" si="13"/>
        <v>378.4628280102002</v>
      </c>
      <c r="O59" s="3">
        <f t="shared" si="10"/>
        <v>394.9341901311513</v>
      </c>
      <c r="P59" s="3">
        <f t="shared" si="11"/>
        <v>193937.71177146072</v>
      </c>
      <c r="Q59" s="32"/>
      <c r="R59" s="32">
        <f>$G$39-SUM($Q$39:$Q59)</f>
        <v>200000</v>
      </c>
    </row>
    <row r="60" spans="1:18" ht="12.75">
      <c r="A60" s="1">
        <f t="shared" si="1"/>
        <v>41671</v>
      </c>
      <c r="B60" s="2">
        <f t="shared" si="2"/>
        <v>2</v>
      </c>
      <c r="C60" s="2">
        <f t="shared" si="3"/>
        <v>21</v>
      </c>
      <c r="D60" s="3">
        <f t="shared" si="14"/>
        <v>816.4823619977051</v>
      </c>
      <c r="E60" s="3">
        <f t="shared" si="12"/>
        <v>441.53403215146324</v>
      </c>
      <c r="F60" s="3">
        <f t="shared" si="6"/>
        <v>374.94832984624185</v>
      </c>
      <c r="G60" s="3">
        <f t="shared" si="7"/>
        <v>192294.447518065</v>
      </c>
      <c r="H60" s="32"/>
      <c r="I60" s="32">
        <f>$G$39-SUM($H$39:$H60)</f>
        <v>200000</v>
      </c>
      <c r="J60" s="68"/>
      <c r="K60" s="2">
        <f t="shared" si="8"/>
        <v>2</v>
      </c>
      <c r="L60" s="2">
        <f t="shared" si="9"/>
        <v>21</v>
      </c>
      <c r="M60" s="3">
        <f>IF(L60&lt;&gt;" ",IF(P59&lt;M59,P59+N60,PMT($O$27,($N$30),-$R59))," ")</f>
        <v>773.3970181413515</v>
      </c>
      <c r="N60" s="3">
        <f t="shared" si="13"/>
        <v>377.6936936749198</v>
      </c>
      <c r="O60" s="3">
        <f t="shared" si="10"/>
        <v>395.7033244664317</v>
      </c>
      <c r="P60" s="3">
        <f t="shared" si="11"/>
        <v>193542.0084469943</v>
      </c>
      <c r="Q60" s="32"/>
      <c r="R60" s="32">
        <f>$G$39-SUM($Q$39:$Q60)</f>
        <v>200000</v>
      </c>
    </row>
    <row r="61" spans="1:18" ht="12.75">
      <c r="A61" s="1">
        <f t="shared" si="1"/>
        <v>41699</v>
      </c>
      <c r="B61" s="2">
        <f t="shared" si="2"/>
        <v>2</v>
      </c>
      <c r="C61" s="2">
        <f t="shared" si="3"/>
        <v>22</v>
      </c>
      <c r="D61" s="3">
        <f t="shared" si="14"/>
        <v>816.4823619977051</v>
      </c>
      <c r="E61" s="3">
        <f t="shared" si="12"/>
        <v>440.6747755622323</v>
      </c>
      <c r="F61" s="3">
        <f t="shared" si="6"/>
        <v>375.8075864354728</v>
      </c>
      <c r="G61" s="3">
        <f t="shared" si="7"/>
        <v>191918.63993162953</v>
      </c>
      <c r="H61" s="32"/>
      <c r="I61" s="32">
        <f>$G$39-SUM($H$39:$H61)</f>
        <v>200000</v>
      </c>
      <c r="J61" s="68"/>
      <c r="K61" s="2">
        <f t="shared" si="8"/>
        <v>2</v>
      </c>
      <c r="L61" s="2">
        <f t="shared" si="9"/>
        <v>22</v>
      </c>
      <c r="M61" s="3">
        <f>IF(L61&lt;&gt;" ",IF(P60&lt;M60,P60+N61,PMT($O$27,($N$30),-$R60))," ")</f>
        <v>773.3970181413515</v>
      </c>
      <c r="N61" s="3">
        <f t="shared" si="13"/>
        <v>376.92306145052146</v>
      </c>
      <c r="O61" s="3">
        <f t="shared" si="10"/>
        <v>396.47395669083005</v>
      </c>
      <c r="P61" s="3">
        <f t="shared" si="11"/>
        <v>193145.53449030346</v>
      </c>
      <c r="Q61" s="32"/>
      <c r="R61" s="32">
        <f>$G$39-SUM($Q$39:$Q61)</f>
        <v>200000</v>
      </c>
    </row>
    <row r="62" spans="1:18" ht="12.75">
      <c r="A62" s="1">
        <f t="shared" si="1"/>
        <v>41730</v>
      </c>
      <c r="B62" s="2">
        <f t="shared" si="2"/>
        <v>2</v>
      </c>
      <c r="C62" s="2">
        <f t="shared" si="3"/>
        <v>23</v>
      </c>
      <c r="D62" s="3">
        <f t="shared" si="14"/>
        <v>816.4823619977051</v>
      </c>
      <c r="E62" s="3">
        <f t="shared" si="12"/>
        <v>439.8135498433177</v>
      </c>
      <c r="F62" s="3">
        <f t="shared" si="6"/>
        <v>376.6688121543874</v>
      </c>
      <c r="G62" s="3">
        <f t="shared" si="7"/>
        <v>191541.97111947514</v>
      </c>
      <c r="H62" s="32"/>
      <c r="I62" s="32">
        <f>$G$39-SUM($H$39:$H62)</f>
        <v>200000</v>
      </c>
      <c r="J62" s="68"/>
      <c r="K62" s="2">
        <f t="shared" si="8"/>
        <v>2</v>
      </c>
      <c r="L62" s="2">
        <f t="shared" si="9"/>
        <v>23</v>
      </c>
      <c r="M62" s="3">
        <f>IF(L62&lt;&gt;" ",IF(P61&lt;M61,P61+N62,PMT($O$27,($N$30),-$R61))," ")</f>
        <v>773.3970181413515</v>
      </c>
      <c r="N62" s="3">
        <f t="shared" si="13"/>
        <v>376.15092841986603</v>
      </c>
      <c r="O62" s="3">
        <f t="shared" si="10"/>
        <v>397.2460897214855</v>
      </c>
      <c r="P62" s="3">
        <f t="shared" si="11"/>
        <v>192748.28840058198</v>
      </c>
      <c r="Q62" s="32"/>
      <c r="R62" s="32">
        <f>$G$39-SUM($Q$39:$Q62)</f>
        <v>200000</v>
      </c>
    </row>
    <row r="63" spans="1:18" ht="12.75">
      <c r="A63" s="1">
        <f t="shared" si="1"/>
        <v>41760</v>
      </c>
      <c r="B63" s="2">
        <f t="shared" si="2"/>
        <v>2</v>
      </c>
      <c r="C63" s="2">
        <f t="shared" si="3"/>
        <v>24</v>
      </c>
      <c r="D63" s="3">
        <f t="shared" si="14"/>
        <v>816.4823619977051</v>
      </c>
      <c r="E63" s="3">
        <f t="shared" si="12"/>
        <v>438.95035048213055</v>
      </c>
      <c r="F63" s="3">
        <f t="shared" si="6"/>
        <v>377.53201151557454</v>
      </c>
      <c r="G63" s="3">
        <f t="shared" si="7"/>
        <v>191164.43910795957</v>
      </c>
      <c r="H63" s="32"/>
      <c r="I63" s="32">
        <f>$G$39-SUM($H$39:$H63)</f>
        <v>200000</v>
      </c>
      <c r="J63" s="68"/>
      <c r="K63" s="2">
        <f t="shared" si="8"/>
        <v>2</v>
      </c>
      <c r="L63" s="2">
        <f t="shared" si="9"/>
        <v>24</v>
      </c>
      <c r="M63" s="3">
        <f>IF(L63&lt;&gt;" ",IF(P62&lt;M62,P62+N63,PMT($O$27,($N$30),-$R62))," ")</f>
        <v>773.3970181413515</v>
      </c>
      <c r="N63" s="3">
        <f t="shared" si="13"/>
        <v>375.37729166013344</v>
      </c>
      <c r="O63" s="3">
        <f t="shared" si="10"/>
        <v>398.0197264812181</v>
      </c>
      <c r="P63" s="3">
        <f t="shared" si="11"/>
        <v>192350.26867410075</v>
      </c>
      <c r="Q63" s="32"/>
      <c r="R63" s="32">
        <f>$G$39-SUM($Q$39:$Q63)</f>
        <v>200000</v>
      </c>
    </row>
    <row r="64" spans="1:18" ht="12.75">
      <c r="A64" s="1">
        <f t="shared" si="1"/>
        <v>41791</v>
      </c>
      <c r="B64" s="2">
        <f t="shared" si="2"/>
        <v>3</v>
      </c>
      <c r="C64" s="2">
        <f t="shared" si="3"/>
        <v>25</v>
      </c>
      <c r="D64" s="3">
        <f t="shared" si="14"/>
        <v>816.4823619977051</v>
      </c>
      <c r="E64" s="3">
        <f t="shared" si="12"/>
        <v>438.0851729557407</v>
      </c>
      <c r="F64" s="3">
        <f t="shared" si="6"/>
        <v>378.3971890419644</v>
      </c>
      <c r="G64" s="3">
        <f t="shared" si="7"/>
        <v>190786.0419189176</v>
      </c>
      <c r="H64" s="32"/>
      <c r="I64" s="32">
        <f>$G$39-SUM($H$39:$H64)</f>
        <v>200000</v>
      </c>
      <c r="J64" s="68"/>
      <c r="K64" s="2">
        <f t="shared" si="8"/>
        <v>3</v>
      </c>
      <c r="L64" s="2">
        <f t="shared" si="9"/>
        <v>25</v>
      </c>
      <c r="M64" s="3">
        <f>IF(L64&lt;&gt;" ",IF(P63&lt;M63,P63+N64,PMT($O$27,($N$30),-$R63))," ")</f>
        <v>773.3970181413515</v>
      </c>
      <c r="N64" s="3">
        <f t="shared" si="13"/>
        <v>374.60214824281127</v>
      </c>
      <c r="O64" s="3">
        <f t="shared" si="10"/>
        <v>398.79486989854024</v>
      </c>
      <c r="P64" s="3">
        <f t="shared" si="11"/>
        <v>191951.47380420222</v>
      </c>
      <c r="Q64" s="32"/>
      <c r="R64" s="32">
        <f>$G$39-SUM($Q$39:$Q64)</f>
        <v>200000</v>
      </c>
    </row>
    <row r="65" spans="1:18" ht="12.75">
      <c r="A65" s="1">
        <f t="shared" si="1"/>
        <v>41821</v>
      </c>
      <c r="B65" s="2">
        <f t="shared" si="2"/>
        <v>3</v>
      </c>
      <c r="C65" s="2">
        <f t="shared" si="3"/>
        <v>26</v>
      </c>
      <c r="D65" s="3">
        <f t="shared" si="14"/>
        <v>816.4823619977051</v>
      </c>
      <c r="E65" s="3">
        <f t="shared" si="12"/>
        <v>437.2180127308528</v>
      </c>
      <c r="F65" s="3">
        <f t="shared" si="6"/>
        <v>379.26434926685226</v>
      </c>
      <c r="G65" s="3">
        <f t="shared" si="7"/>
        <v>190406.77756965073</v>
      </c>
      <c r="H65" s="32"/>
      <c r="I65" s="32">
        <f>$G$39-SUM($H$39:$H65)</f>
        <v>200000</v>
      </c>
      <c r="J65" s="68"/>
      <c r="K65" s="2">
        <f t="shared" si="8"/>
        <v>3</v>
      </c>
      <c r="L65" s="2">
        <f t="shared" si="9"/>
        <v>26</v>
      </c>
      <c r="M65" s="3">
        <f>IF(L65&lt;&gt;" ",IF(P64&lt;M64,P64+N65,PMT($O$27,($N$30),-$R64))," ")</f>
        <v>773.3970181413515</v>
      </c>
      <c r="N65" s="3">
        <f t="shared" si="13"/>
        <v>373.82549523368385</v>
      </c>
      <c r="O65" s="3">
        <f t="shared" si="10"/>
        <v>399.57152290766766</v>
      </c>
      <c r="P65" s="3">
        <f t="shared" si="11"/>
        <v>191551.90228129455</v>
      </c>
      <c r="Q65" s="32"/>
      <c r="R65" s="32">
        <f>$G$39-SUM($Q$39:$Q65)</f>
        <v>200000</v>
      </c>
    </row>
    <row r="66" spans="1:18" ht="12.75">
      <c r="A66" s="1">
        <f t="shared" si="1"/>
        <v>41852</v>
      </c>
      <c r="B66" s="2">
        <f t="shared" si="2"/>
        <v>3</v>
      </c>
      <c r="C66" s="2">
        <f t="shared" si="3"/>
        <v>27</v>
      </c>
      <c r="D66" s="3">
        <f t="shared" si="14"/>
        <v>816.4823619977051</v>
      </c>
      <c r="E66" s="3">
        <f t="shared" si="12"/>
        <v>436.34886526378295</v>
      </c>
      <c r="F66" s="3">
        <f t="shared" si="6"/>
        <v>380.13349673392213</v>
      </c>
      <c r="G66" s="3">
        <f t="shared" si="7"/>
        <v>190026.6440729168</v>
      </c>
      <c r="H66" s="32"/>
      <c r="I66" s="32">
        <f>$G$39-SUM($H$39:$H66)</f>
        <v>200000</v>
      </c>
      <c r="J66" s="68"/>
      <c r="K66" s="2">
        <f t="shared" si="8"/>
        <v>3</v>
      </c>
      <c r="L66" s="2">
        <f t="shared" si="9"/>
        <v>27</v>
      </c>
      <c r="M66" s="3">
        <f>IF(L66&lt;&gt;" ",IF(P65&lt;M65,P65+N66,PMT($O$27,($N$30),-$R65))," ")</f>
        <v>773.3970181413515</v>
      </c>
      <c r="N66" s="3">
        <f t="shared" si="13"/>
        <v>373.04732969282117</v>
      </c>
      <c r="O66" s="3">
        <f t="shared" si="10"/>
        <v>400.34968844853034</v>
      </c>
      <c r="P66" s="3">
        <f t="shared" si="11"/>
        <v>191151.552592846</v>
      </c>
      <c r="Q66" s="32"/>
      <c r="R66" s="32">
        <f>$G$39-SUM($Q$39:$Q66)</f>
        <v>200000</v>
      </c>
    </row>
    <row r="67" spans="1:18" ht="12.75">
      <c r="A67" s="1">
        <f t="shared" si="1"/>
        <v>41883</v>
      </c>
      <c r="B67" s="2">
        <f t="shared" si="2"/>
        <v>3</v>
      </c>
      <c r="C67" s="2">
        <f t="shared" si="3"/>
        <v>28</v>
      </c>
      <c r="D67" s="3">
        <f t="shared" si="14"/>
        <v>816.4823619977051</v>
      </c>
      <c r="E67" s="3">
        <f t="shared" si="12"/>
        <v>435.4777260004343</v>
      </c>
      <c r="F67" s="3">
        <f t="shared" si="6"/>
        <v>381.0046359972708</v>
      </c>
      <c r="G67" s="3">
        <f t="shared" si="7"/>
        <v>189645.63943691953</v>
      </c>
      <c r="H67" s="32"/>
      <c r="I67" s="32">
        <f>$G$39-SUM($H$39:$H67)</f>
        <v>200000</v>
      </c>
      <c r="J67" s="68"/>
      <c r="K67" s="2">
        <f t="shared" si="8"/>
        <v>3</v>
      </c>
      <c r="L67" s="2">
        <f t="shared" si="9"/>
        <v>28</v>
      </c>
      <c r="M67" s="3">
        <f>IF(L67&lt;&gt;" ",IF(P66&lt;M66,P66+N67,PMT($O$27,($N$30),-$R66))," ")</f>
        <v>773.3970181413515</v>
      </c>
      <c r="N67" s="3">
        <f t="shared" si="13"/>
        <v>372.2676486745676</v>
      </c>
      <c r="O67" s="3">
        <f t="shared" si="10"/>
        <v>401.1293694667839</v>
      </c>
      <c r="P67" s="3">
        <f t="shared" si="11"/>
        <v>190750.4232233792</v>
      </c>
      <c r="Q67" s="32"/>
      <c r="R67" s="32">
        <f>$G$39-SUM($Q$39:$Q67)</f>
        <v>200000</v>
      </c>
    </row>
    <row r="68" spans="1:18" ht="12.75">
      <c r="A68" s="1">
        <f t="shared" si="1"/>
        <v>41913</v>
      </c>
      <c r="B68" s="2">
        <f t="shared" si="2"/>
        <v>3</v>
      </c>
      <c r="C68" s="2">
        <f t="shared" si="3"/>
        <v>29</v>
      </c>
      <c r="D68" s="3">
        <f t="shared" si="14"/>
        <v>816.4823619977051</v>
      </c>
      <c r="E68" s="3">
        <f t="shared" si="12"/>
        <v>434.6045903762739</v>
      </c>
      <c r="F68" s="3">
        <f t="shared" si="6"/>
        <v>381.8777716214312</v>
      </c>
      <c r="G68" s="3">
        <f t="shared" si="7"/>
        <v>189263.7616652981</v>
      </c>
      <c r="H68" s="32"/>
      <c r="I68" s="32">
        <f>$G$39-SUM($H$39:$H68)</f>
        <v>200000</v>
      </c>
      <c r="J68" s="68"/>
      <c r="K68" s="2">
        <f t="shared" si="8"/>
        <v>3</v>
      </c>
      <c r="L68" s="2">
        <f t="shared" si="9"/>
        <v>29</v>
      </c>
      <c r="M68" s="3">
        <f>IF(L68&lt;&gt;" ",IF(P67&lt;M67,P67+N68,PMT($O$27,($N$30),-$R67))," ")</f>
        <v>773.3970181413515</v>
      </c>
      <c r="N68" s="3">
        <f t="shared" si="13"/>
        <v>371.48644922753107</v>
      </c>
      <c r="O68" s="3">
        <f t="shared" si="10"/>
        <v>401.91056891382044</v>
      </c>
      <c r="P68" s="3">
        <f t="shared" si="11"/>
        <v>190348.5126544654</v>
      </c>
      <c r="Q68" s="32"/>
      <c r="R68" s="32">
        <f>$G$39-SUM($Q$39:$Q68)</f>
        <v>200000</v>
      </c>
    </row>
    <row r="69" spans="1:18" ht="12.75">
      <c r="A69" s="1">
        <f t="shared" si="1"/>
        <v>41944</v>
      </c>
      <c r="B69" s="2">
        <f t="shared" si="2"/>
        <v>3</v>
      </c>
      <c r="C69" s="2">
        <f t="shared" si="3"/>
        <v>30</v>
      </c>
      <c r="D69" s="3">
        <f t="shared" si="14"/>
        <v>816.4823619977051</v>
      </c>
      <c r="E69" s="3">
        <f t="shared" si="12"/>
        <v>433.7294538163082</v>
      </c>
      <c r="F69" s="3">
        <f t="shared" si="6"/>
        <v>382.7529081813969</v>
      </c>
      <c r="G69" s="3">
        <f t="shared" si="7"/>
        <v>188881.0087571167</v>
      </c>
      <c r="H69" s="32"/>
      <c r="I69" s="32">
        <f>$G$39-SUM($H$39:$H69)</f>
        <v>200000</v>
      </c>
      <c r="J69" s="68"/>
      <c r="K69" s="2">
        <f t="shared" si="8"/>
        <v>3</v>
      </c>
      <c r="L69" s="2">
        <f t="shared" si="9"/>
        <v>30</v>
      </c>
      <c r="M69" s="3">
        <f>IF(L69&lt;&gt;" ",IF(P68&lt;M68,P68+N69,PMT($O$27,($N$30),-$R68))," ")</f>
        <v>773.3970181413515</v>
      </c>
      <c r="N69" s="3">
        <f t="shared" si="13"/>
        <v>370.7037283945714</v>
      </c>
      <c r="O69" s="3">
        <f t="shared" si="10"/>
        <v>402.6932897467801</v>
      </c>
      <c r="P69" s="3">
        <f t="shared" si="11"/>
        <v>189945.8193647186</v>
      </c>
      <c r="Q69" s="32"/>
      <c r="R69" s="32">
        <f>$G$39-SUM($Q$39:$Q69)</f>
        <v>200000</v>
      </c>
    </row>
    <row r="70" spans="1:18" ht="12.75">
      <c r="A70" s="1">
        <f t="shared" si="1"/>
        <v>41974</v>
      </c>
      <c r="B70" s="2">
        <f t="shared" si="2"/>
        <v>3</v>
      </c>
      <c r="C70" s="2">
        <f t="shared" si="3"/>
        <v>31</v>
      </c>
      <c r="D70" s="3">
        <f t="shared" si="14"/>
        <v>816.4823619977051</v>
      </c>
      <c r="E70" s="3">
        <f t="shared" si="12"/>
        <v>432.8523117350591</v>
      </c>
      <c r="F70" s="3">
        <f t="shared" si="6"/>
        <v>383.63005026264597</v>
      </c>
      <c r="G70" s="3">
        <f t="shared" si="7"/>
        <v>188497.37870685407</v>
      </c>
      <c r="H70" s="32"/>
      <c r="I70" s="32">
        <f>$G$39-SUM($H$39:$H70)</f>
        <v>200000</v>
      </c>
      <c r="J70" s="68"/>
      <c r="K70" s="2">
        <f t="shared" si="8"/>
        <v>3</v>
      </c>
      <c r="L70" s="2">
        <f t="shared" si="9"/>
        <v>31</v>
      </c>
      <c r="M70" s="3">
        <f>IF(L70&lt;&gt;" ",IF(P69&lt;M69,P69+N70,PMT($O$27,($N$30),-$R69))," ")</f>
        <v>773.3970181413515</v>
      </c>
      <c r="N70" s="3">
        <f t="shared" si="13"/>
        <v>369.9194832127895</v>
      </c>
      <c r="O70" s="3">
        <f t="shared" si="10"/>
        <v>403.477534928562</v>
      </c>
      <c r="P70" s="3">
        <f t="shared" si="11"/>
        <v>189542.34182979004</v>
      </c>
      <c r="Q70" s="32"/>
      <c r="R70" s="32">
        <f>$G$39-SUM($Q$39:$Q70)</f>
        <v>200000</v>
      </c>
    </row>
    <row r="71" spans="1:18" ht="12.75">
      <c r="A71" s="1">
        <f t="shared" si="1"/>
        <v>42005</v>
      </c>
      <c r="B71" s="2">
        <f t="shared" si="2"/>
        <v>3</v>
      </c>
      <c r="C71" s="2">
        <f t="shared" si="3"/>
        <v>32</v>
      </c>
      <c r="D71" s="3">
        <f t="shared" si="14"/>
        <v>816.4823619977051</v>
      </c>
      <c r="E71" s="3">
        <f t="shared" si="12"/>
        <v>431.9731595365406</v>
      </c>
      <c r="F71" s="3">
        <f t="shared" si="6"/>
        <v>384.5092024611645</v>
      </c>
      <c r="G71" s="3">
        <f t="shared" si="7"/>
        <v>188112.8695043929</v>
      </c>
      <c r="H71" s="32"/>
      <c r="I71" s="32">
        <f>$G$39-SUM($H$39:$H71)</f>
        <v>200000</v>
      </c>
      <c r="J71" s="68"/>
      <c r="K71" s="2">
        <f t="shared" si="8"/>
        <v>3</v>
      </c>
      <c r="L71" s="2">
        <f t="shared" si="9"/>
        <v>32</v>
      </c>
      <c r="M71" s="3">
        <f>IF(L71&lt;&gt;" ",IF(P70&lt;M70,P70+N71,PMT($O$27,($N$30),-$R70))," ")</f>
        <v>773.3970181413515</v>
      </c>
      <c r="N71" s="3">
        <f t="shared" si="13"/>
        <v>369.1337107135161</v>
      </c>
      <c r="O71" s="3">
        <f t="shared" si="10"/>
        <v>404.2633074278354</v>
      </c>
      <c r="P71" s="3">
        <f t="shared" si="11"/>
        <v>189138.0785223622</v>
      </c>
      <c r="Q71" s="32"/>
      <c r="R71" s="32">
        <f>$G$39-SUM($Q$39:$Q71)</f>
        <v>200000</v>
      </c>
    </row>
    <row r="72" spans="1:18" ht="12.75">
      <c r="A72" s="1">
        <f t="shared" si="1"/>
        <v>42036</v>
      </c>
      <c r="B72" s="2">
        <f t="shared" si="2"/>
        <v>3</v>
      </c>
      <c r="C72" s="2">
        <f t="shared" si="3"/>
        <v>33</v>
      </c>
      <c r="D72" s="3">
        <f t="shared" si="14"/>
        <v>816.4823619977051</v>
      </c>
      <c r="E72" s="3">
        <f t="shared" si="12"/>
        <v>431.09199261423373</v>
      </c>
      <c r="F72" s="3">
        <f t="shared" si="6"/>
        <v>385.39036938347135</v>
      </c>
      <c r="G72" s="3">
        <f t="shared" si="7"/>
        <v>187727.47913500943</v>
      </c>
      <c r="H72" s="32"/>
      <c r="I72" s="32">
        <f>$G$39-SUM($H$39:$H72)</f>
        <v>200000</v>
      </c>
      <c r="J72" s="68"/>
      <c r="K72" s="2">
        <f t="shared" si="8"/>
        <v>3</v>
      </c>
      <c r="L72" s="2">
        <f t="shared" si="9"/>
        <v>33</v>
      </c>
      <c r="M72" s="3">
        <f>IF(L72&lt;&gt;" ",IF(P71&lt;M71,P71+N72,PMT($O$27,($N$30),-$R71))," ")</f>
        <v>773.3970181413515</v>
      </c>
      <c r="N72" s="3">
        <f t="shared" si="13"/>
        <v>368.3464079223004</v>
      </c>
      <c r="O72" s="3">
        <f t="shared" si="10"/>
        <v>405.0506102190511</v>
      </c>
      <c r="P72" s="3">
        <f t="shared" si="11"/>
        <v>188733.02791214315</v>
      </c>
      <c r="Q72" s="32"/>
      <c r="R72" s="32">
        <f>$G$39-SUM($Q$39:$Q72)</f>
        <v>200000</v>
      </c>
    </row>
    <row r="73" spans="1:18" ht="12.75">
      <c r="A73" s="1">
        <f t="shared" si="1"/>
        <v>42064</v>
      </c>
      <c r="B73" s="2">
        <f t="shared" si="2"/>
        <v>3</v>
      </c>
      <c r="C73" s="2">
        <f t="shared" si="3"/>
        <v>34</v>
      </c>
      <c r="D73" s="3">
        <f t="shared" si="14"/>
        <v>816.4823619977051</v>
      </c>
      <c r="E73" s="3">
        <f t="shared" si="12"/>
        <v>430.2088063510633</v>
      </c>
      <c r="F73" s="3">
        <f t="shared" si="6"/>
        <v>386.2735556466418</v>
      </c>
      <c r="G73" s="3">
        <f t="shared" si="7"/>
        <v>187341.20557936278</v>
      </c>
      <c r="H73" s="32"/>
      <c r="I73" s="32">
        <f>$G$39-SUM($H$39:$H73)</f>
        <v>200000</v>
      </c>
      <c r="J73" s="68"/>
      <c r="K73" s="2">
        <f t="shared" si="8"/>
        <v>3</v>
      </c>
      <c r="L73" s="2">
        <f t="shared" si="9"/>
        <v>34</v>
      </c>
      <c r="M73" s="3">
        <f>IF(L73&lt;&gt;" ",IF(P72&lt;M72,P72+N73,PMT($O$27,($N$30),-$R72))," ")</f>
        <v>773.3970181413515</v>
      </c>
      <c r="N73" s="3">
        <f t="shared" si="13"/>
        <v>367.5575718588988</v>
      </c>
      <c r="O73" s="3">
        <f t="shared" si="10"/>
        <v>405.8394462824527</v>
      </c>
      <c r="P73" s="3">
        <f t="shared" si="11"/>
        <v>188327.1884658607</v>
      </c>
      <c r="Q73" s="32"/>
      <c r="R73" s="32">
        <f>$G$39-SUM($Q$39:$Q73)</f>
        <v>200000</v>
      </c>
    </row>
    <row r="74" spans="1:18" ht="12.75">
      <c r="A74" s="1">
        <f t="shared" si="1"/>
        <v>42095</v>
      </c>
      <c r="B74" s="2">
        <f t="shared" si="2"/>
        <v>3</v>
      </c>
      <c r="C74" s="2">
        <f t="shared" si="3"/>
        <v>35</v>
      </c>
      <c r="D74" s="3">
        <f t="shared" si="14"/>
        <v>816.4823619977051</v>
      </c>
      <c r="E74" s="3">
        <f t="shared" si="12"/>
        <v>429.32359611937306</v>
      </c>
      <c r="F74" s="3">
        <f t="shared" si="6"/>
        <v>387.158765878332</v>
      </c>
      <c r="G74" s="3">
        <f t="shared" si="7"/>
        <v>186954.04681348446</v>
      </c>
      <c r="H74" s="32"/>
      <c r="I74" s="32">
        <f>$G$39-SUM($H$39:$H74)</f>
        <v>200000</v>
      </c>
      <c r="J74" s="68"/>
      <c r="K74" s="2">
        <f t="shared" si="8"/>
        <v>3</v>
      </c>
      <c r="L74" s="2">
        <f t="shared" si="9"/>
        <v>35</v>
      </c>
      <c r="M74" s="3">
        <f>IF(L74&lt;&gt;" ",IF(P73&lt;M73,P73+N74,PMT($O$27,($N$30),-$R73))," ")</f>
        <v>773.3970181413515</v>
      </c>
      <c r="N74" s="3">
        <f t="shared" si="13"/>
        <v>366.76719953726376</v>
      </c>
      <c r="O74" s="3">
        <f t="shared" si="10"/>
        <v>406.62981860408775</v>
      </c>
      <c r="P74" s="3">
        <f t="shared" si="11"/>
        <v>187920.5586472566</v>
      </c>
      <c r="Q74" s="32"/>
      <c r="R74" s="32">
        <f>$G$39-SUM($Q$39:$Q74)</f>
        <v>200000</v>
      </c>
    </row>
    <row r="75" spans="1:18" ht="12.75">
      <c r="A75" s="1">
        <f t="shared" si="1"/>
        <v>42125</v>
      </c>
      <c r="B75" s="2">
        <f t="shared" si="2"/>
        <v>3</v>
      </c>
      <c r="C75" s="2">
        <f t="shared" si="3"/>
        <v>36</v>
      </c>
      <c r="D75" s="3">
        <f t="shared" si="14"/>
        <v>816.4823619977051</v>
      </c>
      <c r="E75" s="3">
        <f t="shared" si="12"/>
        <v>428.43635728090186</v>
      </c>
      <c r="F75" s="3">
        <f t="shared" si="6"/>
        <v>388.0460047168032</v>
      </c>
      <c r="G75" s="3">
        <f t="shared" si="7"/>
        <v>186566.00080876765</v>
      </c>
      <c r="H75" s="32"/>
      <c r="I75" s="32">
        <f>$G$39-SUM($H$39:$H75)</f>
        <v>200000</v>
      </c>
      <c r="J75" s="68"/>
      <c r="K75" s="2">
        <f t="shared" si="8"/>
        <v>3</v>
      </c>
      <c r="L75" s="2">
        <f t="shared" si="9"/>
        <v>36</v>
      </c>
      <c r="M75" s="3">
        <f>IF(L75&lt;&gt;" ",IF(P74&lt;M74,P74+N75,PMT($O$27,($N$30),-$R74))," ")</f>
        <v>773.3970181413515</v>
      </c>
      <c r="N75" s="3">
        <f t="shared" si="13"/>
        <v>365.9752879655323</v>
      </c>
      <c r="O75" s="3">
        <f t="shared" si="10"/>
        <v>407.4217301758192</v>
      </c>
      <c r="P75" s="3">
        <f t="shared" si="11"/>
        <v>187513.1369170808</v>
      </c>
      <c r="Q75" s="32"/>
      <c r="R75" s="32">
        <f>$G$39-SUM($Q$39:$Q75)</f>
        <v>200000</v>
      </c>
    </row>
    <row r="76" spans="1:18" ht="12.75">
      <c r="A76" s="1">
        <f t="shared" si="1"/>
        <v>42156</v>
      </c>
      <c r="B76" s="2">
        <f t="shared" si="2"/>
        <v>4</v>
      </c>
      <c r="C76" s="2">
        <f t="shared" si="3"/>
        <v>37</v>
      </c>
      <c r="D76" s="3">
        <f t="shared" si="14"/>
        <v>816.4823619977051</v>
      </c>
      <c r="E76" s="3">
        <f t="shared" si="12"/>
        <v>427.5470851867592</v>
      </c>
      <c r="F76" s="3">
        <f t="shared" si="6"/>
        <v>388.9352768109459</v>
      </c>
      <c r="G76" s="3">
        <f t="shared" si="7"/>
        <v>186177.0655319567</v>
      </c>
      <c r="H76" s="32"/>
      <c r="I76" s="32">
        <f>$G$39-SUM($H$39:$H76)</f>
        <v>200000</v>
      </c>
      <c r="J76" s="68"/>
      <c r="K76" s="2">
        <f t="shared" si="8"/>
        <v>4</v>
      </c>
      <c r="L76" s="2">
        <f t="shared" si="9"/>
        <v>37</v>
      </c>
      <c r="M76" s="3">
        <f>IF(L76&lt;&gt;" ",IF(P75&lt;M75,P75+N76,PMT($O$27,($N$30),-$R75))," ")</f>
        <v>773.3970181413515</v>
      </c>
      <c r="N76" s="3">
        <f t="shared" si="13"/>
        <v>365.18183414601486</v>
      </c>
      <c r="O76" s="3">
        <f t="shared" si="10"/>
        <v>408.21518399533664</v>
      </c>
      <c r="P76" s="3">
        <f t="shared" si="11"/>
        <v>187104.92173308544</v>
      </c>
      <c r="Q76" s="32"/>
      <c r="R76" s="32">
        <f>$G$39-SUM($Q$39:$Q76)</f>
        <v>200000</v>
      </c>
    </row>
    <row r="77" spans="1:18" ht="12.75">
      <c r="A77" s="1">
        <f t="shared" si="1"/>
        <v>42186</v>
      </c>
      <c r="B77" s="2">
        <f t="shared" si="2"/>
        <v>4</v>
      </c>
      <c r="C77" s="2">
        <f t="shared" si="3"/>
        <v>38</v>
      </c>
      <c r="D77" s="3">
        <f t="shared" si="14"/>
        <v>816.4823619977051</v>
      </c>
      <c r="E77" s="3">
        <f t="shared" si="12"/>
        <v>426.65577517740076</v>
      </c>
      <c r="F77" s="3">
        <f t="shared" si="6"/>
        <v>389.8265868203043</v>
      </c>
      <c r="G77" s="3">
        <f t="shared" si="7"/>
        <v>185787.2389451364</v>
      </c>
      <c r="H77" s="32"/>
      <c r="I77" s="32">
        <f>$G$39-SUM($H$39:$H77)</f>
        <v>200000</v>
      </c>
      <c r="J77" s="68"/>
      <c r="K77" s="2">
        <f t="shared" si="8"/>
        <v>4</v>
      </c>
      <c r="L77" s="2">
        <f t="shared" si="9"/>
        <v>38</v>
      </c>
      <c r="M77" s="3">
        <f>IF(L77&lt;&gt;" ",IF(P76&lt;M76,P76+N77,PMT($O$27,($N$30),-$R76))," ")</f>
        <v>773.3970181413515</v>
      </c>
      <c r="N77" s="3">
        <f t="shared" si="13"/>
        <v>364.38683507518397</v>
      </c>
      <c r="O77" s="3">
        <f t="shared" si="10"/>
        <v>409.01018306616754</v>
      </c>
      <c r="P77" s="3">
        <f t="shared" si="11"/>
        <v>186695.9115500193</v>
      </c>
      <c r="Q77" s="32"/>
      <c r="R77" s="32">
        <f>$G$39-SUM($Q$39:$Q77)</f>
        <v>200000</v>
      </c>
    </row>
    <row r="78" spans="1:18" ht="12.75">
      <c r="A78" s="1">
        <f t="shared" si="1"/>
        <v>42217</v>
      </c>
      <c r="B78" s="2">
        <f t="shared" si="2"/>
        <v>4</v>
      </c>
      <c r="C78" s="2">
        <f t="shared" si="3"/>
        <v>39</v>
      </c>
      <c r="D78" s="3">
        <f t="shared" si="14"/>
        <v>816.4823619977051</v>
      </c>
      <c r="E78" s="3">
        <f t="shared" si="12"/>
        <v>425.76242258260424</v>
      </c>
      <c r="F78" s="3">
        <f t="shared" si="6"/>
        <v>390.71993941510084</v>
      </c>
      <c r="G78" s="3">
        <f t="shared" si="7"/>
        <v>185396.5190057213</v>
      </c>
      <c r="H78" s="32"/>
      <c r="I78" s="32">
        <f>$G$39-SUM($H$39:$H78)</f>
        <v>200000</v>
      </c>
      <c r="J78" s="68"/>
      <c r="K78" s="2">
        <f t="shared" si="8"/>
        <v>4</v>
      </c>
      <c r="L78" s="2">
        <f t="shared" si="9"/>
        <v>39</v>
      </c>
      <c r="M78" s="3">
        <f>IF(L78&lt;&gt;" ",IF(P77&lt;M77,P77+N78,PMT($O$27,($N$30),-$R77))," ")</f>
        <v>773.3970181413515</v>
      </c>
      <c r="N78" s="3">
        <f t="shared" si="13"/>
        <v>363.5902877436626</v>
      </c>
      <c r="O78" s="3">
        <f t="shared" si="10"/>
        <v>409.8067303976889</v>
      </c>
      <c r="P78" s="3">
        <f t="shared" si="11"/>
        <v>186286.1048196216</v>
      </c>
      <c r="Q78" s="32"/>
      <c r="R78" s="32">
        <f>$G$39-SUM($Q$39:$Q78)</f>
        <v>200000</v>
      </c>
    </row>
    <row r="79" spans="1:18" ht="12.75">
      <c r="A79" s="1">
        <f t="shared" si="1"/>
        <v>42248</v>
      </c>
      <c r="B79" s="2">
        <f t="shared" si="2"/>
        <v>4</v>
      </c>
      <c r="C79" s="2">
        <f t="shared" si="3"/>
        <v>40</v>
      </c>
      <c r="D79" s="3">
        <f t="shared" si="14"/>
        <v>816.4823619977051</v>
      </c>
      <c r="E79" s="3">
        <f t="shared" si="12"/>
        <v>424.86702272144464</v>
      </c>
      <c r="F79" s="3">
        <f t="shared" si="6"/>
        <v>391.61533927626044</v>
      </c>
      <c r="G79" s="3">
        <f t="shared" si="7"/>
        <v>185004.90366644503</v>
      </c>
      <c r="H79" s="32"/>
      <c r="I79" s="32">
        <f>$G$39-SUM($H$39:$H79)</f>
        <v>200000</v>
      </c>
      <c r="J79" s="68"/>
      <c r="K79" s="2">
        <f t="shared" si="8"/>
        <v>4</v>
      </c>
      <c r="L79" s="2">
        <f t="shared" si="9"/>
        <v>40</v>
      </c>
      <c r="M79" s="3">
        <f>IF(L79&lt;&gt;" ",IF(P78&lt;M78,P78+N79,PMT($O$27,($N$30),-$R78))," ")</f>
        <v>773.3970181413515</v>
      </c>
      <c r="N79" s="3">
        <f t="shared" si="13"/>
        <v>362.7921891362131</v>
      </c>
      <c r="O79" s="3">
        <f t="shared" si="10"/>
        <v>410.6048290051384</v>
      </c>
      <c r="P79" s="3">
        <f t="shared" si="11"/>
        <v>185875.49999061646</v>
      </c>
      <c r="Q79" s="32"/>
      <c r="R79" s="32">
        <f>$G$39-SUM($Q$39:$Q79)</f>
        <v>200000</v>
      </c>
    </row>
    <row r="80" spans="1:18" ht="12.75">
      <c r="A80" s="1">
        <f t="shared" si="1"/>
        <v>42278</v>
      </c>
      <c r="B80" s="2">
        <f t="shared" si="2"/>
        <v>4</v>
      </c>
      <c r="C80" s="2">
        <f t="shared" si="3"/>
        <v>41</v>
      </c>
      <c r="D80" s="3">
        <f t="shared" si="14"/>
        <v>816.4823619977051</v>
      </c>
      <c r="E80" s="3">
        <f t="shared" si="12"/>
        <v>423.9695709022699</v>
      </c>
      <c r="F80" s="3">
        <f t="shared" si="6"/>
        <v>392.5127910954352</v>
      </c>
      <c r="G80" s="3">
        <f t="shared" si="7"/>
        <v>184612.39087534958</v>
      </c>
      <c r="H80" s="32"/>
      <c r="I80" s="32">
        <f>$G$39-SUM($H$39:$H80)</f>
        <v>200000</v>
      </c>
      <c r="J80" s="68"/>
      <c r="K80" s="2">
        <f t="shared" si="8"/>
        <v>4</v>
      </c>
      <c r="L80" s="2">
        <f t="shared" si="9"/>
        <v>41</v>
      </c>
      <c r="M80" s="3">
        <f>IF(L80&lt;&gt;" ",IF(P79&lt;M79,P79+N80,PMT($O$27,($N$30),-$R79))," ")</f>
        <v>773.3970181413515</v>
      </c>
      <c r="N80" s="3">
        <f t="shared" si="13"/>
        <v>361.9925362317256</v>
      </c>
      <c r="O80" s="3">
        <f t="shared" si="10"/>
        <v>411.40448190962593</v>
      </c>
      <c r="P80" s="3">
        <f t="shared" si="11"/>
        <v>185464.09550870684</v>
      </c>
      <c r="Q80" s="32"/>
      <c r="R80" s="32">
        <f>$G$39-SUM($Q$39:$Q80)</f>
        <v>200000</v>
      </c>
    </row>
    <row r="81" spans="1:18" ht="12.75">
      <c r="A81" s="1">
        <f t="shared" si="1"/>
        <v>42309</v>
      </c>
      <c r="B81" s="2">
        <f t="shared" si="2"/>
        <v>4</v>
      </c>
      <c r="C81" s="2">
        <f t="shared" si="3"/>
        <v>42</v>
      </c>
      <c r="D81" s="3">
        <f t="shared" si="14"/>
        <v>816.4823619977051</v>
      </c>
      <c r="E81" s="3">
        <f t="shared" si="12"/>
        <v>423.07006242267613</v>
      </c>
      <c r="F81" s="3">
        <f t="shared" si="6"/>
        <v>393.41229957502895</v>
      </c>
      <c r="G81" s="3">
        <f t="shared" si="7"/>
        <v>184218.97857577456</v>
      </c>
      <c r="H81" s="32"/>
      <c r="I81" s="32">
        <f>$G$39-SUM($H$39:$H81)</f>
        <v>200000</v>
      </c>
      <c r="J81" s="68"/>
      <c r="K81" s="2">
        <f t="shared" si="8"/>
        <v>4</v>
      </c>
      <c r="L81" s="2">
        <f t="shared" si="9"/>
        <v>42</v>
      </c>
      <c r="M81" s="3">
        <f>IF(L81&lt;&gt;" ",IF(P80&lt;M80,P80+N81,PMT($O$27,($N$30),-$R80))," ")</f>
        <v>773.3970181413515</v>
      </c>
      <c r="N81" s="3">
        <f t="shared" si="13"/>
        <v>361.1913260032066</v>
      </c>
      <c r="O81" s="3">
        <f t="shared" si="10"/>
        <v>412.2056921381449</v>
      </c>
      <c r="P81" s="3">
        <f t="shared" si="11"/>
        <v>185051.8898165687</v>
      </c>
      <c r="Q81" s="32"/>
      <c r="R81" s="32">
        <f>$G$39-SUM($Q$39:$Q81)</f>
        <v>200000</v>
      </c>
    </row>
    <row r="82" spans="1:18" ht="12.75">
      <c r="A82" s="1">
        <f t="shared" si="1"/>
        <v>42339</v>
      </c>
      <c r="B82" s="2">
        <f t="shared" si="2"/>
        <v>4</v>
      </c>
      <c r="C82" s="2">
        <f t="shared" si="3"/>
        <v>43</v>
      </c>
      <c r="D82" s="3">
        <f t="shared" si="14"/>
        <v>816.4823619977051</v>
      </c>
      <c r="E82" s="3">
        <f t="shared" si="12"/>
        <v>422.16849256948336</v>
      </c>
      <c r="F82" s="3">
        <f t="shared" si="6"/>
        <v>394.3138694282217</v>
      </c>
      <c r="G82" s="3">
        <f t="shared" si="7"/>
        <v>183824.66470634635</v>
      </c>
      <c r="H82" s="32"/>
      <c r="I82" s="32">
        <f>$G$39-SUM($H$39:$H82)</f>
        <v>200000</v>
      </c>
      <c r="J82" s="68"/>
      <c r="K82" s="2">
        <f t="shared" si="8"/>
        <v>4</v>
      </c>
      <c r="L82" s="2">
        <f t="shared" si="9"/>
        <v>43</v>
      </c>
      <c r="M82" s="3">
        <f>IF(L82&lt;&gt;" ",IF(P81&lt;M81,P81+N82,PMT($O$27,($N$30),-$R81))," ")</f>
        <v>773.3970181413515</v>
      </c>
      <c r="N82" s="3">
        <f t="shared" si="13"/>
        <v>360.3885554177676</v>
      </c>
      <c r="O82" s="3">
        <f t="shared" si="10"/>
        <v>413.00846272358393</v>
      </c>
      <c r="P82" s="3">
        <f t="shared" si="11"/>
        <v>184638.88135384512</v>
      </c>
      <c r="Q82" s="32"/>
      <c r="R82" s="32">
        <f>$G$39-SUM($Q$39:$Q82)</f>
        <v>200000</v>
      </c>
    </row>
    <row r="83" spans="1:18" ht="12.75">
      <c r="A83" s="1">
        <f t="shared" si="1"/>
        <v>42370</v>
      </c>
      <c r="B83" s="2">
        <f t="shared" si="2"/>
        <v>4</v>
      </c>
      <c r="C83" s="2">
        <f t="shared" si="3"/>
        <v>44</v>
      </c>
      <c r="D83" s="3">
        <f t="shared" si="14"/>
        <v>816.4823619977051</v>
      </c>
      <c r="E83" s="3">
        <f t="shared" si="12"/>
        <v>421.2648566187104</v>
      </c>
      <c r="F83" s="3">
        <f t="shared" si="6"/>
        <v>395.2175053789947</v>
      </c>
      <c r="G83" s="3">
        <f t="shared" si="7"/>
        <v>183429.44720096735</v>
      </c>
      <c r="H83" s="32"/>
      <c r="I83" s="32">
        <f>$G$39-SUM($H$39:$H83)</f>
        <v>200000</v>
      </c>
      <c r="J83" s="68"/>
      <c r="K83" s="2">
        <f t="shared" si="8"/>
        <v>4</v>
      </c>
      <c r="L83" s="2">
        <f t="shared" si="9"/>
        <v>44</v>
      </c>
      <c r="M83" s="3">
        <f>IF(L83&lt;&gt;" ",IF(P82&lt;M82,P82+N83,PMT($O$27,($N$30),-$R82))," ")</f>
        <v>773.3970181413515</v>
      </c>
      <c r="N83" s="3">
        <f t="shared" si="13"/>
        <v>359.5842214366134</v>
      </c>
      <c r="O83" s="3">
        <f t="shared" si="10"/>
        <v>413.8127967047381</v>
      </c>
      <c r="P83" s="3">
        <f t="shared" si="11"/>
        <v>184225.0685571404</v>
      </c>
      <c r="Q83" s="32"/>
      <c r="R83" s="32">
        <f>$G$39-SUM($Q$39:$Q83)</f>
        <v>200000</v>
      </c>
    </row>
    <row r="84" spans="1:18" ht="12.75">
      <c r="A84" s="1">
        <f t="shared" si="1"/>
        <v>42401</v>
      </c>
      <c r="B84" s="2">
        <f t="shared" si="2"/>
        <v>4</v>
      </c>
      <c r="C84" s="2">
        <f t="shared" si="3"/>
        <v>45</v>
      </c>
      <c r="D84" s="3">
        <f t="shared" si="14"/>
        <v>816.4823619977051</v>
      </c>
      <c r="E84" s="3">
        <f t="shared" si="12"/>
        <v>420.35914983555017</v>
      </c>
      <c r="F84" s="3">
        <f t="shared" si="6"/>
        <v>396.1232121621549</v>
      </c>
      <c r="G84" s="3">
        <f t="shared" si="7"/>
        <v>183033.3239888052</v>
      </c>
      <c r="H84" s="32"/>
      <c r="I84" s="32">
        <f>$G$39-SUM($H$39:$H84)</f>
        <v>200000</v>
      </c>
      <c r="J84" s="68"/>
      <c r="K84" s="2">
        <f t="shared" si="8"/>
        <v>4</v>
      </c>
      <c r="L84" s="2">
        <f t="shared" si="9"/>
        <v>45</v>
      </c>
      <c r="M84" s="3">
        <f>IF(L84&lt;&gt;" ",IF(P83&lt;M83,P83+N84,PMT($O$27,($N$30),-$R83))," ")</f>
        <v>773.3970181413515</v>
      </c>
      <c r="N84" s="3">
        <f t="shared" si="13"/>
        <v>358.77832101503094</v>
      </c>
      <c r="O84" s="3">
        <f t="shared" si="10"/>
        <v>414.61869712632057</v>
      </c>
      <c r="P84" s="3">
        <f t="shared" si="11"/>
        <v>183810.44986001408</v>
      </c>
      <c r="Q84" s="32"/>
      <c r="R84" s="32">
        <f>$G$39-SUM($Q$39:$Q84)</f>
        <v>200000</v>
      </c>
    </row>
    <row r="85" spans="1:18" ht="12.75">
      <c r="A85" s="1">
        <f t="shared" si="1"/>
        <v>42430</v>
      </c>
      <c r="B85" s="2">
        <f t="shared" si="2"/>
        <v>4</v>
      </c>
      <c r="C85" s="2">
        <f t="shared" si="3"/>
        <v>46</v>
      </c>
      <c r="D85" s="3">
        <f t="shared" si="14"/>
        <v>816.4823619977051</v>
      </c>
      <c r="E85" s="3">
        <f t="shared" si="12"/>
        <v>419.45136747434526</v>
      </c>
      <c r="F85" s="3">
        <f t="shared" si="6"/>
        <v>397.0309945233598</v>
      </c>
      <c r="G85" s="3">
        <f t="shared" si="7"/>
        <v>182636.29299428186</v>
      </c>
      <c r="H85" s="32"/>
      <c r="I85" s="32">
        <f>$G$39-SUM($H$39:$H85)</f>
        <v>200000</v>
      </c>
      <c r="J85" s="68"/>
      <c r="K85" s="2">
        <f t="shared" si="8"/>
        <v>4</v>
      </c>
      <c r="L85" s="2">
        <f t="shared" si="9"/>
        <v>46</v>
      </c>
      <c r="M85" s="3">
        <f>IF(L85&lt;&gt;" ",IF(P84&lt;M84,P84+N85,PMT($O$27,($N$30),-$R84))," ")</f>
        <v>773.3970181413515</v>
      </c>
      <c r="N85" s="3">
        <f t="shared" si="13"/>
        <v>357.9708511023775</v>
      </c>
      <c r="O85" s="3">
        <f t="shared" si="10"/>
        <v>415.42616703897403</v>
      </c>
      <c r="P85" s="3">
        <f t="shared" si="11"/>
        <v>183395.0236929751</v>
      </c>
      <c r="Q85" s="32"/>
      <c r="R85" s="32">
        <f>$G$39-SUM($Q$39:$Q85)</f>
        <v>200000</v>
      </c>
    </row>
    <row r="86" spans="1:18" ht="12.75">
      <c r="A86" s="1">
        <f t="shared" si="1"/>
        <v>42461</v>
      </c>
      <c r="B86" s="2">
        <f t="shared" si="2"/>
        <v>4</v>
      </c>
      <c r="C86" s="2">
        <f t="shared" si="3"/>
        <v>47</v>
      </c>
      <c r="D86" s="3">
        <f t="shared" si="14"/>
        <v>816.4823619977051</v>
      </c>
      <c r="E86" s="3">
        <f t="shared" si="12"/>
        <v>418.54150477856257</v>
      </c>
      <c r="F86" s="3">
        <f t="shared" si="6"/>
        <v>397.9408572191425</v>
      </c>
      <c r="G86" s="3">
        <f t="shared" si="7"/>
        <v>182238.35213706273</v>
      </c>
      <c r="H86" s="32"/>
      <c r="I86" s="32">
        <f>$G$39-SUM($H$39:$H86)</f>
        <v>200000</v>
      </c>
      <c r="J86" s="68"/>
      <c r="K86" s="2">
        <f t="shared" si="8"/>
        <v>4</v>
      </c>
      <c r="L86" s="2">
        <f t="shared" si="9"/>
        <v>47</v>
      </c>
      <c r="M86" s="3">
        <f>IF(L86&lt;&gt;" ",IF(P85&lt;M85,P85+N86,PMT($O$27,($N$30),-$R85))," ")</f>
        <v>773.3970181413515</v>
      </c>
      <c r="N86" s="3">
        <f t="shared" si="13"/>
        <v>357.16180864206905</v>
      </c>
      <c r="O86" s="3">
        <f t="shared" si="10"/>
        <v>416.23520949928246</v>
      </c>
      <c r="P86" s="3">
        <f t="shared" si="11"/>
        <v>182978.78848347583</v>
      </c>
      <c r="Q86" s="32"/>
      <c r="R86" s="32">
        <f>$G$39-SUM($Q$39:$Q86)</f>
        <v>200000</v>
      </c>
    </row>
    <row r="87" spans="1:18" ht="12.75">
      <c r="A87" s="1">
        <f t="shared" si="1"/>
        <v>42491</v>
      </c>
      <c r="B87" s="2">
        <f t="shared" si="2"/>
        <v>4</v>
      </c>
      <c r="C87" s="2">
        <f t="shared" si="3"/>
        <v>48</v>
      </c>
      <c r="D87" s="3">
        <f t="shared" si="14"/>
        <v>816.4823619977051</v>
      </c>
      <c r="E87" s="3">
        <f t="shared" si="12"/>
        <v>417.62955698076877</v>
      </c>
      <c r="F87" s="3">
        <f t="shared" si="6"/>
        <v>398.8528050169363</v>
      </c>
      <c r="G87" s="3">
        <f t="shared" si="7"/>
        <v>181839.4993320458</v>
      </c>
      <c r="H87" s="32"/>
      <c r="I87" s="32">
        <f>$G$39-SUM($H$39:$H87)</f>
        <v>200000</v>
      </c>
      <c r="J87" s="68"/>
      <c r="K87" s="2">
        <f t="shared" si="8"/>
        <v>4</v>
      </c>
      <c r="L87" s="2">
        <f t="shared" si="9"/>
        <v>48</v>
      </c>
      <c r="M87" s="3">
        <f>IF(L87&lt;&gt;" ",IF(P86&lt;M86,P86+N87,PMT($O$27,($N$30),-$R86))," ")</f>
        <v>773.3970181413515</v>
      </c>
      <c r="N87" s="3">
        <f t="shared" si="13"/>
        <v>356.35119057156925</v>
      </c>
      <c r="O87" s="3">
        <f t="shared" si="10"/>
        <v>417.04582756978226</v>
      </c>
      <c r="P87" s="3">
        <f t="shared" si="11"/>
        <v>182561.74265590604</v>
      </c>
      <c r="Q87" s="32"/>
      <c r="R87" s="32">
        <f>$G$39-SUM($Q$39:$Q87)</f>
        <v>200000</v>
      </c>
    </row>
    <row r="88" spans="1:18" ht="12.75">
      <c r="A88" s="1">
        <f t="shared" si="1"/>
        <v>42522</v>
      </c>
      <c r="B88" s="2">
        <f t="shared" si="2"/>
        <v>5</v>
      </c>
      <c r="C88" s="2">
        <f t="shared" si="3"/>
        <v>49</v>
      </c>
      <c r="D88" s="3">
        <f t="shared" si="14"/>
        <v>816.4823619977051</v>
      </c>
      <c r="E88" s="3">
        <f t="shared" si="12"/>
        <v>416.71551930260495</v>
      </c>
      <c r="F88" s="3">
        <f t="shared" si="6"/>
        <v>399.76684269510014</v>
      </c>
      <c r="G88" s="3">
        <f t="shared" si="7"/>
        <v>181439.7324893507</v>
      </c>
      <c r="H88" s="32"/>
      <c r="I88" s="32">
        <f>$G$39-SUM($H$39:$H88)</f>
        <v>200000</v>
      </c>
      <c r="J88" s="68"/>
      <c r="K88" s="2">
        <f t="shared" si="8"/>
        <v>5</v>
      </c>
      <c r="L88" s="2">
        <f t="shared" si="9"/>
        <v>49</v>
      </c>
      <c r="M88" s="3">
        <f>IF(L88&lt;&gt;" ",IF(P87&lt;M87,P87+N88,PMT($O$27,($N$30),-$R87))," ")</f>
        <v>773.3970181413515</v>
      </c>
      <c r="N88" s="3">
        <f t="shared" si="13"/>
        <v>355.53899382237705</v>
      </c>
      <c r="O88" s="3">
        <f t="shared" si="10"/>
        <v>417.85802431897446</v>
      </c>
      <c r="P88" s="3">
        <f t="shared" si="11"/>
        <v>182143.88463158708</v>
      </c>
      <c r="Q88" s="32"/>
      <c r="R88" s="32">
        <f>$G$39-SUM($Q$39:$Q88)</f>
        <v>200000</v>
      </c>
    </row>
    <row r="89" spans="1:18" ht="12.75">
      <c r="A89" s="1">
        <f t="shared" si="1"/>
        <v>42552</v>
      </c>
      <c r="B89" s="2">
        <f t="shared" si="2"/>
        <v>5</v>
      </c>
      <c r="C89" s="2">
        <f t="shared" si="3"/>
        <v>50</v>
      </c>
      <c r="D89" s="3">
        <f t="shared" si="14"/>
        <v>816.4823619977051</v>
      </c>
      <c r="E89" s="3">
        <f t="shared" si="12"/>
        <v>415.799386954762</v>
      </c>
      <c r="F89" s="3">
        <f t="shared" si="6"/>
        <v>400.6829750429431</v>
      </c>
      <c r="G89" s="3">
        <f t="shared" si="7"/>
        <v>181039.04951430776</v>
      </c>
      <c r="H89" s="32"/>
      <c r="I89" s="32">
        <f>$G$39-SUM($H$39:$H89)</f>
        <v>200000</v>
      </c>
      <c r="J89" s="68"/>
      <c r="K89" s="2">
        <f t="shared" si="8"/>
        <v>5</v>
      </c>
      <c r="L89" s="2">
        <f t="shared" si="9"/>
        <v>50</v>
      </c>
      <c r="M89" s="3">
        <f>IF(L89&lt;&gt;" ",IF(P88&lt;M88,P88+N89,PMT($O$27,($N$30),-$R88))," ")</f>
        <v>773.3970181413515</v>
      </c>
      <c r="N89" s="3">
        <f t="shared" si="13"/>
        <v>354.7252153200159</v>
      </c>
      <c r="O89" s="3">
        <f t="shared" si="10"/>
        <v>418.67180282133563</v>
      </c>
      <c r="P89" s="3">
        <f t="shared" si="11"/>
        <v>181725.21282876574</v>
      </c>
      <c r="Q89" s="32"/>
      <c r="R89" s="32">
        <f>$G$39-SUM($Q$39:$Q89)</f>
        <v>200000</v>
      </c>
    </row>
    <row r="90" spans="1:18" ht="12.75">
      <c r="A90" s="1">
        <f t="shared" si="1"/>
        <v>42583</v>
      </c>
      <c r="B90" s="2">
        <f t="shared" si="2"/>
        <v>5</v>
      </c>
      <c r="C90" s="2">
        <f t="shared" si="3"/>
        <v>51</v>
      </c>
      <c r="D90" s="3">
        <f t="shared" si="14"/>
        <v>816.4823619977051</v>
      </c>
      <c r="E90" s="3">
        <f t="shared" si="12"/>
        <v>414.8811551369553</v>
      </c>
      <c r="F90" s="3">
        <f t="shared" si="6"/>
        <v>401.6012068607498</v>
      </c>
      <c r="G90" s="3">
        <f t="shared" si="7"/>
        <v>180637.44830744702</v>
      </c>
      <c r="H90" s="32"/>
      <c r="I90" s="32">
        <f>$G$39-SUM($H$39:$H90)</f>
        <v>200000</v>
      </c>
      <c r="J90" s="68"/>
      <c r="K90" s="2">
        <f t="shared" si="8"/>
        <v>5</v>
      </c>
      <c r="L90" s="2">
        <f t="shared" si="9"/>
        <v>51</v>
      </c>
      <c r="M90" s="3">
        <f>IF(L90&lt;&gt;" ",IF(P89&lt;M89,P89+N90,PMT($O$27,($N$30),-$R89))," ")</f>
        <v>773.3970181413515</v>
      </c>
      <c r="N90" s="3">
        <f t="shared" si="13"/>
        <v>353.9098519840213</v>
      </c>
      <c r="O90" s="3">
        <f t="shared" si="10"/>
        <v>419.4871661573302</v>
      </c>
      <c r="P90" s="3">
        <f t="shared" si="11"/>
        <v>181305.7256626084</v>
      </c>
      <c r="Q90" s="32"/>
      <c r="R90" s="32">
        <f>$G$39-SUM($Q$39:$Q90)</f>
        <v>200000</v>
      </c>
    </row>
    <row r="91" spans="1:18" ht="12.75">
      <c r="A91" s="1">
        <f t="shared" si="1"/>
        <v>42614</v>
      </c>
      <c r="B91" s="2">
        <f t="shared" si="2"/>
        <v>5</v>
      </c>
      <c r="C91" s="2">
        <f t="shared" si="3"/>
        <v>52</v>
      </c>
      <c r="D91" s="3">
        <f t="shared" si="14"/>
        <v>816.4823619977051</v>
      </c>
      <c r="E91" s="3">
        <f t="shared" si="12"/>
        <v>413.9608190378994</v>
      </c>
      <c r="F91" s="3">
        <f t="shared" si="6"/>
        <v>402.5215429598057</v>
      </c>
      <c r="G91" s="3">
        <f t="shared" si="7"/>
        <v>180234.9267644872</v>
      </c>
      <c r="H91" s="32"/>
      <c r="I91" s="32">
        <f>$G$39-SUM($H$39:$H91)</f>
        <v>200000</v>
      </c>
      <c r="J91" s="68"/>
      <c r="K91" s="2">
        <f t="shared" si="8"/>
        <v>5</v>
      </c>
      <c r="L91" s="2">
        <f t="shared" si="9"/>
        <v>52</v>
      </c>
      <c r="M91" s="3">
        <f>IF(L91&lt;&gt;" ",IF(P90&lt;M90,P90+N91,PMT($O$27,($N$30),-$R90))," ")</f>
        <v>773.3970181413515</v>
      </c>
      <c r="N91" s="3">
        <f t="shared" si="13"/>
        <v>353.0929007279299</v>
      </c>
      <c r="O91" s="3">
        <f t="shared" si="10"/>
        <v>420.30411741342164</v>
      </c>
      <c r="P91" s="3">
        <f t="shared" si="11"/>
        <v>180885.421545195</v>
      </c>
      <c r="Q91" s="32"/>
      <c r="R91" s="32">
        <f>$G$39-SUM($Q$39:$Q91)</f>
        <v>200000</v>
      </c>
    </row>
    <row r="92" spans="1:18" ht="12.75">
      <c r="A92" s="1">
        <f t="shared" si="1"/>
        <v>42644</v>
      </c>
      <c r="B92" s="2">
        <f t="shared" si="2"/>
        <v>5</v>
      </c>
      <c r="C92" s="2">
        <f t="shared" si="3"/>
        <v>53</v>
      </c>
      <c r="D92" s="3">
        <f t="shared" si="14"/>
        <v>816.4823619977051</v>
      </c>
      <c r="E92" s="3">
        <f t="shared" si="12"/>
        <v>413.03837383528315</v>
      </c>
      <c r="F92" s="3">
        <f t="shared" si="6"/>
        <v>403.44398816242193</v>
      </c>
      <c r="G92" s="3">
        <f t="shared" si="7"/>
        <v>179831.4827763248</v>
      </c>
      <c r="H92" s="32"/>
      <c r="I92" s="32">
        <f>$G$39-SUM($H$39:$H92)</f>
        <v>200000</v>
      </c>
      <c r="J92" s="68"/>
      <c r="K92" s="2">
        <f t="shared" si="8"/>
        <v>5</v>
      </c>
      <c r="L92" s="2">
        <f t="shared" si="9"/>
        <v>53</v>
      </c>
      <c r="M92" s="3">
        <f>IF(L92&lt;&gt;" ",IF(P91&lt;M91,P91+N92,PMT($O$27,($N$30),-$R91))," ")</f>
        <v>773.3970181413515</v>
      </c>
      <c r="N92" s="3">
        <f t="shared" si="13"/>
        <v>352.27435845926726</v>
      </c>
      <c r="O92" s="3">
        <f t="shared" si="10"/>
        <v>421.12265968208425</v>
      </c>
      <c r="P92" s="3">
        <f t="shared" si="11"/>
        <v>180464.2988855129</v>
      </c>
      <c r="Q92" s="32"/>
      <c r="R92" s="32">
        <f>$G$39-SUM($Q$39:$Q92)</f>
        <v>200000</v>
      </c>
    </row>
    <row r="93" spans="1:18" ht="12.75">
      <c r="A93" s="1">
        <f t="shared" si="1"/>
        <v>42675</v>
      </c>
      <c r="B93" s="2">
        <f t="shared" si="2"/>
        <v>5</v>
      </c>
      <c r="C93" s="2">
        <f t="shared" si="3"/>
        <v>54</v>
      </c>
      <c r="D93" s="3">
        <f t="shared" si="14"/>
        <v>816.4823619977051</v>
      </c>
      <c r="E93" s="3">
        <f t="shared" si="12"/>
        <v>412.1138146957443</v>
      </c>
      <c r="F93" s="3">
        <f t="shared" si="6"/>
        <v>404.3685473019608</v>
      </c>
      <c r="G93" s="3">
        <f t="shared" si="7"/>
        <v>179427.11422902282</v>
      </c>
      <c r="H93" s="32"/>
      <c r="I93" s="32">
        <f>$G$39-SUM($H$39:$H93)</f>
        <v>200000</v>
      </c>
      <c r="J93" s="68"/>
      <c r="K93" s="2">
        <f t="shared" si="8"/>
        <v>5</v>
      </c>
      <c r="L93" s="2">
        <f t="shared" si="9"/>
        <v>54</v>
      </c>
      <c r="M93" s="3">
        <f>IF(L93&lt;&gt;" ",IF(P92&lt;M92,P92+N93,PMT($O$27,($N$30),-$R92))," ")</f>
        <v>773.3970181413515</v>
      </c>
      <c r="N93" s="3">
        <f t="shared" si="13"/>
        <v>351.4542220795364</v>
      </c>
      <c r="O93" s="3">
        <f t="shared" si="10"/>
        <v>421.9427960618151</v>
      </c>
      <c r="P93" s="3">
        <f t="shared" si="11"/>
        <v>180042.3560894511</v>
      </c>
      <c r="Q93" s="32"/>
      <c r="R93" s="32">
        <f>$G$39-SUM($Q$39:$Q93)</f>
        <v>200000</v>
      </c>
    </row>
    <row r="94" spans="1:18" ht="12.75">
      <c r="A94" s="1">
        <f t="shared" si="1"/>
        <v>42705</v>
      </c>
      <c r="B94" s="2">
        <f t="shared" si="2"/>
        <v>5</v>
      </c>
      <c r="C94" s="2">
        <f t="shared" si="3"/>
        <v>55</v>
      </c>
      <c r="D94" s="3">
        <f t="shared" si="14"/>
        <v>816.4823619977051</v>
      </c>
      <c r="E94" s="3">
        <f t="shared" si="12"/>
        <v>411.18713677484396</v>
      </c>
      <c r="F94" s="3">
        <f t="shared" si="6"/>
        <v>405.2952252228611</v>
      </c>
      <c r="G94" s="3">
        <f t="shared" si="7"/>
        <v>179021.81900379996</v>
      </c>
      <c r="H94" s="32"/>
      <c r="I94" s="32">
        <f>$G$39-SUM($H$39:$H94)</f>
        <v>200000</v>
      </c>
      <c r="J94" s="68"/>
      <c r="K94" s="2">
        <f t="shared" si="8"/>
        <v>5</v>
      </c>
      <c r="L94" s="2">
        <f t="shared" si="9"/>
        <v>55</v>
      </c>
      <c r="M94" s="3">
        <f>IF(L94&lt;&gt;" ",IF(P93&lt;M93,P93+N94,PMT($O$27,($N$30),-$R93))," ")</f>
        <v>773.3970181413515</v>
      </c>
      <c r="N94" s="3">
        <f t="shared" si="13"/>
        <v>350.632488484206</v>
      </c>
      <c r="O94" s="3">
        <f t="shared" si="10"/>
        <v>422.7645296571455</v>
      </c>
      <c r="P94" s="3">
        <f t="shared" si="11"/>
        <v>179619.59155979395</v>
      </c>
      <c r="Q94" s="32"/>
      <c r="R94" s="32">
        <f>$G$39-SUM($Q$39:$Q94)</f>
        <v>200000</v>
      </c>
    </row>
    <row r="95" spans="1:18" ht="12.75">
      <c r="A95" s="1">
        <f t="shared" si="1"/>
        <v>42736</v>
      </c>
      <c r="B95" s="2">
        <f t="shared" si="2"/>
        <v>5</v>
      </c>
      <c r="C95" s="2">
        <f t="shared" si="3"/>
        <v>56</v>
      </c>
      <c r="D95" s="3">
        <f t="shared" si="14"/>
        <v>816.4823619977051</v>
      </c>
      <c r="E95" s="3">
        <f t="shared" si="12"/>
        <v>410.2583352170416</v>
      </c>
      <c r="F95" s="3">
        <f t="shared" si="6"/>
        <v>406.2240267806635</v>
      </c>
      <c r="G95" s="3">
        <f t="shared" si="7"/>
        <v>178615.5949770193</v>
      </c>
      <c r="H95" s="32"/>
      <c r="I95" s="32">
        <f>$G$39-SUM($H$39:$H95)</f>
        <v>200000</v>
      </c>
      <c r="J95" s="68"/>
      <c r="K95" s="2">
        <f t="shared" si="8"/>
        <v>5</v>
      </c>
      <c r="L95" s="2">
        <f t="shared" si="9"/>
        <v>56</v>
      </c>
      <c r="M95" s="3">
        <f>IF(L95&lt;&gt;" ",IF(P94&lt;M94,P94+N95,PMT($O$27,($N$30),-$R94))," ")</f>
        <v>773.3970181413515</v>
      </c>
      <c r="N95" s="3">
        <f t="shared" si="13"/>
        <v>349.8091545626987</v>
      </c>
      <c r="O95" s="3">
        <f t="shared" si="10"/>
        <v>423.5878635786528</v>
      </c>
      <c r="P95" s="3">
        <f t="shared" si="11"/>
        <v>179196.00369621528</v>
      </c>
      <c r="Q95" s="32"/>
      <c r="R95" s="32">
        <f>$G$39-SUM($Q$39:$Q95)</f>
        <v>200000</v>
      </c>
    </row>
    <row r="96" spans="1:18" ht="12.75">
      <c r="A96" s="1">
        <f t="shared" si="1"/>
        <v>42767</v>
      </c>
      <c r="B96" s="2">
        <f t="shared" si="2"/>
        <v>5</v>
      </c>
      <c r="C96" s="2">
        <f t="shared" si="3"/>
        <v>57</v>
      </c>
      <c r="D96" s="3">
        <f t="shared" si="14"/>
        <v>816.4823619977051</v>
      </c>
      <c r="E96" s="3">
        <f t="shared" si="12"/>
        <v>409.3274051556692</v>
      </c>
      <c r="F96" s="3">
        <f t="shared" si="6"/>
        <v>407.15495684203586</v>
      </c>
      <c r="G96" s="3">
        <f t="shared" si="7"/>
        <v>178208.44002017725</v>
      </c>
      <c r="H96" s="32"/>
      <c r="I96" s="32">
        <f>$G$39-SUM($H$39:$H96)</f>
        <v>200000</v>
      </c>
      <c r="J96" s="68"/>
      <c r="K96" s="2">
        <f t="shared" si="8"/>
        <v>5</v>
      </c>
      <c r="L96" s="2">
        <f t="shared" si="9"/>
        <v>57</v>
      </c>
      <c r="M96" s="3">
        <f>IF(L96&lt;&gt;" ",IF(P95&lt;M95,P95+N96,PMT($O$27,($N$30),-$R95))," ")</f>
        <v>773.3970181413515</v>
      </c>
      <c r="N96" s="3">
        <f t="shared" si="13"/>
        <v>348.9842171983793</v>
      </c>
      <c r="O96" s="3">
        <f t="shared" si="10"/>
        <v>424.4128009429722</v>
      </c>
      <c r="P96" s="3">
        <f t="shared" si="11"/>
        <v>178771.5908952723</v>
      </c>
      <c r="Q96" s="32"/>
      <c r="R96" s="32">
        <f>$G$39-SUM($Q$39:$Q96)</f>
        <v>200000</v>
      </c>
    </row>
    <row r="97" spans="1:18" ht="12.75">
      <c r="A97" s="1">
        <f t="shared" si="1"/>
        <v>42795</v>
      </c>
      <c r="B97" s="2">
        <f t="shared" si="2"/>
        <v>5</v>
      </c>
      <c r="C97" s="2">
        <f t="shared" si="3"/>
        <v>58</v>
      </c>
      <c r="D97" s="3">
        <f t="shared" si="14"/>
        <v>816.4823619977051</v>
      </c>
      <c r="E97" s="3">
        <f t="shared" si="12"/>
        <v>408.3943417129062</v>
      </c>
      <c r="F97" s="3">
        <f t="shared" si="6"/>
        <v>408.08802028479886</v>
      </c>
      <c r="G97" s="3">
        <f t="shared" si="7"/>
        <v>177800.35199989245</v>
      </c>
      <c r="H97" s="32"/>
      <c r="I97" s="32">
        <f>$G$39-SUM($H$39:$H97)</f>
        <v>200000</v>
      </c>
      <c r="J97" s="68"/>
      <c r="K97" s="2">
        <f t="shared" si="8"/>
        <v>5</v>
      </c>
      <c r="L97" s="2">
        <f t="shared" si="9"/>
        <v>58</v>
      </c>
      <c r="M97" s="3">
        <f>IF(L97&lt;&gt;" ",IF(P96&lt;M96,P96+N97,PMT($O$27,($N$30),-$R96))," ")</f>
        <v>773.3970181413515</v>
      </c>
      <c r="N97" s="3">
        <f t="shared" si="13"/>
        <v>348.15767326854285</v>
      </c>
      <c r="O97" s="3">
        <f t="shared" si="10"/>
        <v>425.23934487280866</v>
      </c>
      <c r="P97" s="3">
        <f t="shared" si="11"/>
        <v>178346.3515503995</v>
      </c>
      <c r="Q97" s="32"/>
      <c r="R97" s="32">
        <f>$G$39-SUM($Q$39:$Q97)</f>
        <v>200000</v>
      </c>
    </row>
    <row r="98" spans="1:18" ht="12.75">
      <c r="A98" s="1">
        <f t="shared" si="1"/>
        <v>42826</v>
      </c>
      <c r="B98" s="2">
        <f t="shared" si="2"/>
        <v>5</v>
      </c>
      <c r="C98" s="2">
        <f t="shared" si="3"/>
        <v>59</v>
      </c>
      <c r="D98" s="3">
        <f t="shared" si="14"/>
        <v>816.4823619977051</v>
      </c>
      <c r="E98" s="3">
        <f t="shared" si="12"/>
        <v>407.4591399997535</v>
      </c>
      <c r="F98" s="3">
        <f t="shared" si="6"/>
        <v>409.02322199795157</v>
      </c>
      <c r="G98" s="3">
        <f t="shared" si="7"/>
        <v>177391.3287778945</v>
      </c>
      <c r="H98" s="32"/>
      <c r="I98" s="32">
        <f>$G$39-SUM($H$39:$H98)</f>
        <v>200000</v>
      </c>
      <c r="J98" s="68"/>
      <c r="K98" s="2">
        <f t="shared" si="8"/>
        <v>5</v>
      </c>
      <c r="L98" s="2">
        <f t="shared" si="9"/>
        <v>59</v>
      </c>
      <c r="M98" s="3">
        <f>IF(L98&lt;&gt;" ",IF(P97&lt;M97,P97+N98,PMT($O$27,($N$30),-$R97))," ")</f>
        <v>773.3970181413515</v>
      </c>
      <c r="N98" s="3">
        <f t="shared" si="13"/>
        <v>347.3295196444031</v>
      </c>
      <c r="O98" s="3">
        <f t="shared" si="10"/>
        <v>426.0674984969484</v>
      </c>
      <c r="P98" s="3">
        <f t="shared" si="11"/>
        <v>177920.28405190256</v>
      </c>
      <c r="Q98" s="32"/>
      <c r="R98" s="32">
        <f>$G$39-SUM($Q$39:$Q98)</f>
        <v>200000</v>
      </c>
    </row>
    <row r="99" spans="1:18" ht="12.75">
      <c r="A99" s="1">
        <f t="shared" si="1"/>
        <v>42856</v>
      </c>
      <c r="B99" s="2">
        <f t="shared" si="2"/>
        <v>5</v>
      </c>
      <c r="C99" s="2">
        <f t="shared" si="3"/>
        <v>60</v>
      </c>
      <c r="D99" s="3">
        <f t="shared" si="14"/>
        <v>816.4823619977051</v>
      </c>
      <c r="E99" s="3">
        <f t="shared" si="12"/>
        <v>406.5217951160082</v>
      </c>
      <c r="F99" s="3">
        <f t="shared" si="6"/>
        <v>409.9605668816969</v>
      </c>
      <c r="G99" s="3">
        <f t="shared" si="7"/>
        <v>176981.3682110128</v>
      </c>
      <c r="H99" s="32"/>
      <c r="I99" s="32">
        <f>$G$39-SUM($H$39:$H99)</f>
        <v>200000</v>
      </c>
      <c r="J99" s="68"/>
      <c r="K99" s="2">
        <f t="shared" si="8"/>
        <v>5</v>
      </c>
      <c r="L99" s="2">
        <f t="shared" si="9"/>
        <v>60</v>
      </c>
      <c r="M99" s="3">
        <f>IF(L99&lt;&gt;" ",IF(P98&lt;M98,P98+N99,PMT($O$27,($N$30),-$R98))," ")</f>
        <v>773.3970181413515</v>
      </c>
      <c r="N99" s="3">
        <f t="shared" si="13"/>
        <v>346.4997531910803</v>
      </c>
      <c r="O99" s="3">
        <f t="shared" si="10"/>
        <v>426.8972649502712</v>
      </c>
      <c r="P99" s="3">
        <f t="shared" si="11"/>
        <v>177493.3867869523</v>
      </c>
      <c r="Q99" s="32"/>
      <c r="R99" s="32">
        <f>$G$39-SUM($Q$39:$Q99)</f>
        <v>200000</v>
      </c>
    </row>
    <row r="100" spans="1:18" ht="12.75">
      <c r="A100" s="1">
        <f t="shared" si="1"/>
        <v>42887</v>
      </c>
      <c r="B100" s="2">
        <f t="shared" si="2"/>
        <v>6</v>
      </c>
      <c r="C100" s="2">
        <f t="shared" si="3"/>
        <v>61</v>
      </c>
      <c r="D100" s="3">
        <f t="shared" si="14"/>
        <v>816.4823619977051</v>
      </c>
      <c r="E100" s="3">
        <f t="shared" si="12"/>
        <v>405.5823021502377</v>
      </c>
      <c r="F100" s="3">
        <f t="shared" si="6"/>
        <v>410.9000598474674</v>
      </c>
      <c r="G100" s="3">
        <f t="shared" si="7"/>
        <v>176570.46815116532</v>
      </c>
      <c r="H100" s="32"/>
      <c r="I100" s="32">
        <f>$G$39-SUM($H$39:$H100)</f>
        <v>200000</v>
      </c>
      <c r="J100" s="68"/>
      <c r="K100" s="2">
        <f t="shared" si="8"/>
        <v>6</v>
      </c>
      <c r="L100" s="2">
        <f t="shared" si="9"/>
        <v>61</v>
      </c>
      <c r="M100" s="3">
        <f>IF(L100&lt;&gt;" ",IF(P99&lt;M99,P99+N100,PMT($O$27,($N$30),-$R99))," ")</f>
        <v>773.3970181413515</v>
      </c>
      <c r="N100" s="3">
        <f t="shared" si="13"/>
        <v>345.66837076758964</v>
      </c>
      <c r="O100" s="3">
        <f t="shared" si="10"/>
        <v>427.7286473737619</v>
      </c>
      <c r="P100" s="3">
        <f t="shared" si="11"/>
        <v>177065.65813957853</v>
      </c>
      <c r="Q100" s="32"/>
      <c r="R100" s="32">
        <f>$G$39-SUM($Q$39:$Q100)</f>
        <v>200000</v>
      </c>
    </row>
    <row r="101" spans="1:18" ht="12.75">
      <c r="A101" s="1">
        <f t="shared" si="1"/>
        <v>42917</v>
      </c>
      <c r="B101" s="2">
        <f t="shared" si="2"/>
        <v>6</v>
      </c>
      <c r="C101" s="2">
        <f t="shared" si="3"/>
        <v>62</v>
      </c>
      <c r="D101" s="3">
        <f t="shared" si="14"/>
        <v>816.4823619977051</v>
      </c>
      <c r="E101" s="3">
        <f t="shared" si="12"/>
        <v>404.6406561797539</v>
      </c>
      <c r="F101" s="3">
        <f t="shared" si="6"/>
        <v>411.8417058179512</v>
      </c>
      <c r="G101" s="3">
        <f t="shared" si="7"/>
        <v>176158.62644534736</v>
      </c>
      <c r="H101" s="32"/>
      <c r="I101" s="32">
        <f>$G$39-SUM($H$39:$H101)</f>
        <v>200000</v>
      </c>
      <c r="J101" s="68"/>
      <c r="K101" s="2">
        <f t="shared" si="8"/>
        <v>6</v>
      </c>
      <c r="L101" s="2">
        <f t="shared" si="9"/>
        <v>62</v>
      </c>
      <c r="M101" s="3">
        <f>IF(L101&lt;&gt;" ",IF(P100&lt;M100,P100+N101,PMT($O$27,($N$30),-$R100))," ")</f>
        <v>773.3970181413515</v>
      </c>
      <c r="N101" s="3">
        <f t="shared" si="13"/>
        <v>344.83536922682924</v>
      </c>
      <c r="O101" s="3">
        <f t="shared" si="10"/>
        <v>428.56164891452227</v>
      </c>
      <c r="P101" s="3">
        <f t="shared" si="11"/>
        <v>176637.096490664</v>
      </c>
      <c r="Q101" s="32"/>
      <c r="R101" s="32">
        <f>$G$39-SUM($Q$39:$Q101)</f>
        <v>200000</v>
      </c>
    </row>
    <row r="102" spans="1:18" ht="12.75">
      <c r="A102" s="1">
        <f t="shared" si="1"/>
        <v>42948</v>
      </c>
      <c r="B102" s="2">
        <f t="shared" si="2"/>
        <v>6</v>
      </c>
      <c r="C102" s="2">
        <f t="shared" si="3"/>
        <v>63</v>
      </c>
      <c r="D102" s="3">
        <f t="shared" si="14"/>
        <v>816.4823619977051</v>
      </c>
      <c r="E102" s="3">
        <f t="shared" si="12"/>
        <v>403.69685227058767</v>
      </c>
      <c r="F102" s="3">
        <f t="shared" si="6"/>
        <v>412.7855097271174</v>
      </c>
      <c r="G102" s="3">
        <f t="shared" si="7"/>
        <v>175745.84093562025</v>
      </c>
      <c r="H102" s="32"/>
      <c r="I102" s="32">
        <f>$G$39-SUM($H$39:$H102)</f>
        <v>200000</v>
      </c>
      <c r="J102" s="68"/>
      <c r="K102" s="2">
        <f t="shared" si="8"/>
        <v>6</v>
      </c>
      <c r="L102" s="2">
        <f t="shared" si="9"/>
        <v>63</v>
      </c>
      <c r="M102" s="3">
        <f>IF(L102&lt;&gt;" ",IF(P101&lt;M101,P101+N102,PMT($O$27,($N$30),-$R101))," ")</f>
        <v>773.3970181413515</v>
      </c>
      <c r="N102" s="3">
        <f t="shared" si="13"/>
        <v>344.0007454155682</v>
      </c>
      <c r="O102" s="3">
        <f t="shared" si="10"/>
        <v>429.3962727257833</v>
      </c>
      <c r="P102" s="3">
        <f t="shared" si="11"/>
        <v>176207.70021793823</v>
      </c>
      <c r="Q102" s="32"/>
      <c r="R102" s="32">
        <f>$G$39-SUM($Q$39:$Q102)</f>
        <v>200000</v>
      </c>
    </row>
    <row r="103" spans="1:18" ht="12.75">
      <c r="A103" s="1">
        <f t="shared" si="1"/>
        <v>42979</v>
      </c>
      <c r="B103" s="2">
        <f t="shared" si="2"/>
        <v>6</v>
      </c>
      <c r="C103" s="2">
        <f t="shared" si="3"/>
        <v>64</v>
      </c>
      <c r="D103" s="3">
        <f t="shared" si="14"/>
        <v>816.4823619977051</v>
      </c>
      <c r="E103" s="3">
        <f t="shared" si="12"/>
        <v>402.75088547746304</v>
      </c>
      <c r="F103" s="3">
        <f t="shared" si="6"/>
        <v>413.73147652024204</v>
      </c>
      <c r="G103" s="3">
        <f t="shared" si="7"/>
        <v>175332.1094591</v>
      </c>
      <c r="H103" s="32"/>
      <c r="I103" s="32">
        <f>$G$39-SUM($H$39:$H103)</f>
        <v>200000</v>
      </c>
      <c r="J103" s="68"/>
      <c r="K103" s="2">
        <f t="shared" si="8"/>
        <v>6</v>
      </c>
      <c r="L103" s="2">
        <f t="shared" si="9"/>
        <v>64</v>
      </c>
      <c r="M103" s="3">
        <f>IF(L103&lt;&gt;" ",IF(P102&lt;M102,P102+N103,PMT($O$27,($N$30),-$R102))," ")</f>
        <v>773.3970181413515</v>
      </c>
      <c r="N103" s="3">
        <f t="shared" si="13"/>
        <v>343.16449617443476</v>
      </c>
      <c r="O103" s="3">
        <f t="shared" si="10"/>
        <v>430.23252196691675</v>
      </c>
      <c r="P103" s="3">
        <f t="shared" si="11"/>
        <v>175777.4676959713</v>
      </c>
      <c r="Q103" s="32"/>
      <c r="R103" s="32">
        <f>$G$39-SUM($Q$39:$Q103)</f>
        <v>200000</v>
      </c>
    </row>
    <row r="104" spans="1:18" ht="12.75">
      <c r="A104" s="1">
        <f t="shared" si="1"/>
        <v>43009</v>
      </c>
      <c r="B104" s="2">
        <f t="shared" si="2"/>
        <v>6</v>
      </c>
      <c r="C104" s="2">
        <f t="shared" si="3"/>
        <v>65</v>
      </c>
      <c r="D104" s="3">
        <f t="shared" si="14"/>
        <v>816.4823619977051</v>
      </c>
      <c r="E104" s="3">
        <f t="shared" si="12"/>
        <v>401.8027508437708</v>
      </c>
      <c r="F104" s="3">
        <f t="shared" si="6"/>
        <v>414.6796111539343</v>
      </c>
      <c r="G104" s="3">
        <f t="shared" si="7"/>
        <v>174917.42984794607</v>
      </c>
      <c r="H104" s="32"/>
      <c r="I104" s="32">
        <f>$G$39-SUM($H$39:$H104)</f>
        <v>200000</v>
      </c>
      <c r="J104" s="68"/>
      <c r="K104" s="2">
        <f t="shared" si="8"/>
        <v>6</v>
      </c>
      <c r="L104" s="2">
        <f t="shared" si="9"/>
        <v>65</v>
      </c>
      <c r="M104" s="3">
        <f>IF(L104&lt;&gt;" ",IF(P103&lt;M103,P103+N104,PMT($O$27,($N$30),-$R103))," ")</f>
        <v>773.3970181413515</v>
      </c>
      <c r="N104" s="3">
        <f t="shared" si="13"/>
        <v>342.32661833790416</v>
      </c>
      <c r="O104" s="3">
        <f t="shared" si="10"/>
        <v>431.07039980344734</v>
      </c>
      <c r="P104" s="3">
        <f t="shared" si="11"/>
        <v>175346.39729616785</v>
      </c>
      <c r="Q104" s="32"/>
      <c r="R104" s="32">
        <f>$G$39-SUM($Q$39:$Q104)</f>
        <v>200000</v>
      </c>
    </row>
    <row r="105" spans="1:18" ht="12.75">
      <c r="A105" s="1">
        <f aca="true" t="shared" si="15" ref="A105:A168">IF(B105&lt;&gt;" ",DATE(YEAR(A104),MONTH(A104)+1,DAY(A104)),"")</f>
        <v>43040</v>
      </c>
      <c r="B105" s="2">
        <f aca="true" t="shared" si="16" ref="B105:B168">IF(C105&lt;&gt;" ",INT(C104/12)+1," ")</f>
        <v>6</v>
      </c>
      <c r="C105" s="2">
        <f aca="true" t="shared" si="17" ref="C105:C168">IF(CODE(C104)=32," ",IF(AND(C104+1&lt;=$E$30,G104&gt;0),+C104+1," "))</f>
        <v>66</v>
      </c>
      <c r="D105" s="3">
        <f t="shared" si="14"/>
        <v>816.4823619977051</v>
      </c>
      <c r="E105" s="3">
        <f t="shared" si="12"/>
        <v>400.8524434015431</v>
      </c>
      <c r="F105" s="3">
        <f aca="true" t="shared" si="18" ref="F105:F168">IF(C105&lt;&gt;" ",D105-E105+H105," ")</f>
        <v>415.629918596162</v>
      </c>
      <c r="G105" s="3">
        <f aca="true" t="shared" si="19" ref="G105:G168">IF(C105&lt;&gt;" ",G104-F105," ")</f>
        <v>174501.79992934992</v>
      </c>
      <c r="H105" s="32"/>
      <c r="I105" s="32">
        <f>$G$39-SUM($H$39:$H105)</f>
        <v>200000</v>
      </c>
      <c r="J105" s="68"/>
      <c r="K105" s="2">
        <f aca="true" t="shared" si="20" ref="K105:K168">IF(L105&lt;&gt;" ",INT(L104/12)+1," ")</f>
        <v>6</v>
      </c>
      <c r="L105" s="2">
        <f aca="true" t="shared" si="21" ref="L105:L168">IF(CODE(L104)=32," ",IF(AND(L104+1&lt;=$E$30,P104&gt;0),+L104+1," "))</f>
        <v>66</v>
      </c>
      <c r="M105" s="3">
        <f>IF(L105&lt;&gt;" ",IF(P104&lt;M104,P104+N105,PMT($O$27,($N$30),-$R104))," ")</f>
        <v>773.3970181413515</v>
      </c>
      <c r="N105" s="3">
        <f t="shared" si="13"/>
        <v>341.48710873428695</v>
      </c>
      <c r="O105" s="3">
        <f aca="true" t="shared" si="22" ref="O105:O168">IF(L105&lt;&gt;" ",M105-N105+Q105," ")</f>
        <v>431.90990940706456</v>
      </c>
      <c r="P105" s="3">
        <f aca="true" t="shared" si="23" ref="P105:P168">IF(L105&lt;&gt;" ",P104-O105," ")</f>
        <v>174914.4873867608</v>
      </c>
      <c r="Q105" s="32"/>
      <c r="R105" s="32">
        <f>$G$39-SUM($Q$39:$Q105)</f>
        <v>200000</v>
      </c>
    </row>
    <row r="106" spans="1:18" ht="12.75">
      <c r="A106" s="1">
        <f t="shared" si="15"/>
        <v>43070</v>
      </c>
      <c r="B106" s="2">
        <f t="shared" si="16"/>
        <v>6</v>
      </c>
      <c r="C106" s="2">
        <f t="shared" si="17"/>
        <v>67</v>
      </c>
      <c r="D106" s="3">
        <f t="shared" si="14"/>
        <v>816.4823619977051</v>
      </c>
      <c r="E106" s="3">
        <f t="shared" si="12"/>
        <v>399.8999581714269</v>
      </c>
      <c r="F106" s="3">
        <f t="shared" si="18"/>
        <v>416.5824038262782</v>
      </c>
      <c r="G106" s="3">
        <f t="shared" si="19"/>
        <v>174085.21752552365</v>
      </c>
      <c r="H106" s="32"/>
      <c r="I106" s="32">
        <f>$G$39-SUM($H$39:$H106)</f>
        <v>200000</v>
      </c>
      <c r="J106" s="68"/>
      <c r="K106" s="2">
        <f t="shared" si="20"/>
        <v>6</v>
      </c>
      <c r="L106" s="2">
        <f t="shared" si="21"/>
        <v>67</v>
      </c>
      <c r="M106" s="3">
        <f>IF(L106&lt;&gt;" ",IF(P105&lt;M105,P105+N106,PMT($O$27,($N$30),-$R105))," ")</f>
        <v>773.3970181413515</v>
      </c>
      <c r="N106" s="3">
        <f t="shared" si="13"/>
        <v>340.6459641857167</v>
      </c>
      <c r="O106" s="3">
        <f t="shared" si="22"/>
        <v>432.7510539556348</v>
      </c>
      <c r="P106" s="3">
        <f t="shared" si="23"/>
        <v>174481.73633280516</v>
      </c>
      <c r="Q106" s="32"/>
      <c r="R106" s="32">
        <f>$G$39-SUM($Q$39:$Q106)</f>
        <v>200000</v>
      </c>
    </row>
    <row r="107" spans="1:18" ht="12.75">
      <c r="A107" s="1">
        <f t="shared" si="15"/>
        <v>43101</v>
      </c>
      <c r="B107" s="2">
        <f t="shared" si="16"/>
        <v>6</v>
      </c>
      <c r="C107" s="2">
        <f t="shared" si="17"/>
        <v>68</v>
      </c>
      <c r="D107" s="3">
        <f t="shared" si="14"/>
        <v>816.4823619977051</v>
      </c>
      <c r="E107" s="3">
        <f t="shared" si="12"/>
        <v>398.94529016265835</v>
      </c>
      <c r="F107" s="3">
        <f t="shared" si="18"/>
        <v>417.53707183504673</v>
      </c>
      <c r="G107" s="3">
        <f t="shared" si="19"/>
        <v>173667.6804536886</v>
      </c>
      <c r="H107" s="32"/>
      <c r="I107" s="32">
        <f>$G$39-SUM($H$39:$H107)</f>
        <v>200000</v>
      </c>
      <c r="J107" s="68"/>
      <c r="K107" s="2">
        <f t="shared" si="20"/>
        <v>6</v>
      </c>
      <c r="L107" s="2">
        <f t="shared" si="21"/>
        <v>68</v>
      </c>
      <c r="M107" s="3">
        <f>IF(L107&lt;&gt;" ",IF(P106&lt;M106,P106+N107,PMT($O$27,($N$30),-$R106))," ")</f>
        <v>773.3970181413515</v>
      </c>
      <c r="N107" s="3">
        <f t="shared" si="13"/>
        <v>339.8031815081381</v>
      </c>
      <c r="O107" s="3">
        <f t="shared" si="22"/>
        <v>433.5938366332134</v>
      </c>
      <c r="P107" s="3">
        <f t="shared" si="23"/>
        <v>174048.14249617193</v>
      </c>
      <c r="Q107" s="32"/>
      <c r="R107" s="32">
        <f>$G$39-SUM($Q$39:$Q107)</f>
        <v>200000</v>
      </c>
    </row>
    <row r="108" spans="1:18" ht="12.75">
      <c r="A108" s="1">
        <f t="shared" si="15"/>
        <v>43132</v>
      </c>
      <c r="B108" s="2">
        <f t="shared" si="16"/>
        <v>6</v>
      </c>
      <c r="C108" s="2">
        <f t="shared" si="17"/>
        <v>69</v>
      </c>
      <c r="D108" s="3">
        <f t="shared" si="14"/>
        <v>816.4823619977051</v>
      </c>
      <c r="E108" s="3">
        <f t="shared" si="12"/>
        <v>397.9884343730364</v>
      </c>
      <c r="F108" s="3">
        <f t="shared" si="18"/>
        <v>418.4939276246687</v>
      </c>
      <c r="G108" s="3">
        <f t="shared" si="19"/>
        <v>173249.18652606395</v>
      </c>
      <c r="H108" s="32"/>
      <c r="I108" s="32">
        <f>$G$39-SUM($H$39:$H108)</f>
        <v>200000</v>
      </c>
      <c r="J108" s="68"/>
      <c r="K108" s="2">
        <f t="shared" si="20"/>
        <v>6</v>
      </c>
      <c r="L108" s="2">
        <f t="shared" si="21"/>
        <v>69</v>
      </c>
      <c r="M108" s="3">
        <f>IF(L108&lt;&gt;" ",IF(P107&lt;M107,P107+N108,PMT($O$27,($N$30),-$R107))," ")</f>
        <v>773.3970181413515</v>
      </c>
      <c r="N108" s="3">
        <f t="shared" si="13"/>
        <v>338.9587575112949</v>
      </c>
      <c r="O108" s="3">
        <f t="shared" si="22"/>
        <v>434.4382606300566</v>
      </c>
      <c r="P108" s="3">
        <f t="shared" si="23"/>
        <v>173613.70423554187</v>
      </c>
      <c r="Q108" s="32"/>
      <c r="R108" s="32">
        <f>$G$39-SUM($Q$39:$Q108)</f>
        <v>200000</v>
      </c>
    </row>
    <row r="109" spans="1:18" ht="12.75">
      <c r="A109" s="1">
        <f t="shared" si="15"/>
        <v>43160</v>
      </c>
      <c r="B109" s="2">
        <f t="shared" si="16"/>
        <v>6</v>
      </c>
      <c r="C109" s="2">
        <f t="shared" si="17"/>
        <v>70</v>
      </c>
      <c r="D109" s="3">
        <f t="shared" si="14"/>
        <v>816.4823619977051</v>
      </c>
      <c r="E109" s="3">
        <f t="shared" si="12"/>
        <v>397.02938578889655</v>
      </c>
      <c r="F109" s="3">
        <f t="shared" si="18"/>
        <v>419.45297620880854</v>
      </c>
      <c r="G109" s="3">
        <f t="shared" si="19"/>
        <v>172829.73354985513</v>
      </c>
      <c r="H109" s="32"/>
      <c r="I109" s="32">
        <f>$G$39-SUM($H$39:$H109)</f>
        <v>200000</v>
      </c>
      <c r="J109" s="68"/>
      <c r="K109" s="2">
        <f t="shared" si="20"/>
        <v>6</v>
      </c>
      <c r="L109" s="2">
        <f t="shared" si="21"/>
        <v>70</v>
      </c>
      <c r="M109" s="3">
        <f>IF(L109&lt;&gt;" ",IF(P108&lt;M108,P108+N109,PMT($O$27,($N$30),-$R108))," ")</f>
        <v>773.3970181413515</v>
      </c>
      <c r="N109" s="3">
        <f t="shared" si="13"/>
        <v>338.11268899871783</v>
      </c>
      <c r="O109" s="3">
        <f t="shared" si="22"/>
        <v>435.2843291426337</v>
      </c>
      <c r="P109" s="3">
        <f t="shared" si="23"/>
        <v>173178.41990639924</v>
      </c>
      <c r="Q109" s="32"/>
      <c r="R109" s="32">
        <f>$G$39-SUM($Q$39:$Q109)</f>
        <v>200000</v>
      </c>
    </row>
    <row r="110" spans="1:18" ht="12.75">
      <c r="A110" s="1">
        <f t="shared" si="15"/>
        <v>43191</v>
      </c>
      <c r="B110" s="2">
        <f t="shared" si="16"/>
        <v>6</v>
      </c>
      <c r="C110" s="2">
        <f t="shared" si="17"/>
        <v>71</v>
      </c>
      <c r="D110" s="3">
        <f t="shared" si="14"/>
        <v>816.4823619977051</v>
      </c>
      <c r="E110" s="3">
        <f t="shared" si="12"/>
        <v>396.0681393850847</v>
      </c>
      <c r="F110" s="3">
        <f t="shared" si="18"/>
        <v>420.4142226126204</v>
      </c>
      <c r="G110" s="3">
        <f t="shared" si="19"/>
        <v>172409.3193272425</v>
      </c>
      <c r="H110" s="32"/>
      <c r="I110" s="32">
        <f>$G$39-SUM($H$39:$H110)</f>
        <v>200000</v>
      </c>
      <c r="J110" s="68"/>
      <c r="K110" s="2">
        <f t="shared" si="20"/>
        <v>6</v>
      </c>
      <c r="L110" s="2">
        <f t="shared" si="21"/>
        <v>71</v>
      </c>
      <c r="M110" s="3">
        <f>IF(L110&lt;&gt;" ",IF(P109&lt;M109,P109+N110,PMT($O$27,($N$30),-$R109))," ")</f>
        <v>773.3970181413515</v>
      </c>
      <c r="N110" s="3">
        <f t="shared" si="13"/>
        <v>337.26497276771255</v>
      </c>
      <c r="O110" s="3">
        <f t="shared" si="22"/>
        <v>436.13204537363896</v>
      </c>
      <c r="P110" s="3">
        <f t="shared" si="23"/>
        <v>172742.2878610256</v>
      </c>
      <c r="Q110" s="32"/>
      <c r="R110" s="32">
        <f>$G$39-SUM($Q$39:$Q110)</f>
        <v>200000</v>
      </c>
    </row>
    <row r="111" spans="1:18" ht="12.75">
      <c r="A111" s="1">
        <f t="shared" si="15"/>
        <v>43221</v>
      </c>
      <c r="B111" s="2">
        <f t="shared" si="16"/>
        <v>6</v>
      </c>
      <c r="C111" s="2">
        <f t="shared" si="17"/>
        <v>72</v>
      </c>
      <c r="D111" s="3">
        <f t="shared" si="14"/>
        <v>816.4823619977051</v>
      </c>
      <c r="E111" s="3">
        <f t="shared" si="12"/>
        <v>395.1046901249307</v>
      </c>
      <c r="F111" s="3">
        <f t="shared" si="18"/>
        <v>421.3776718727744</v>
      </c>
      <c r="G111" s="3">
        <f t="shared" si="19"/>
        <v>171987.94165536974</v>
      </c>
      <c r="H111" s="32"/>
      <c r="I111" s="32">
        <f>$G$39-SUM($H$39:$H111)</f>
        <v>200000</v>
      </c>
      <c r="J111" s="68"/>
      <c r="K111" s="2">
        <f t="shared" si="20"/>
        <v>6</v>
      </c>
      <c r="L111" s="2">
        <f t="shared" si="21"/>
        <v>72</v>
      </c>
      <c r="M111" s="3">
        <f>IF(L111&lt;&gt;" ",IF(P110&lt;M110,P110+N111,PMT($O$27,($N$30),-$R110))," ")</f>
        <v>773.3970181413515</v>
      </c>
      <c r="N111" s="3">
        <f t="shared" si="13"/>
        <v>336.4156056093474</v>
      </c>
      <c r="O111" s="3">
        <f t="shared" si="22"/>
        <v>436.98141253200413</v>
      </c>
      <c r="P111" s="3">
        <f t="shared" si="23"/>
        <v>172305.3064484936</v>
      </c>
      <c r="Q111" s="32"/>
      <c r="R111" s="32">
        <f>$G$39-SUM($Q$39:$Q111)</f>
        <v>200000</v>
      </c>
    </row>
    <row r="112" spans="1:18" ht="12.75">
      <c r="A112" s="1">
        <f t="shared" si="15"/>
        <v>43252</v>
      </c>
      <c r="B112" s="2">
        <f t="shared" si="16"/>
        <v>7</v>
      </c>
      <c r="C112" s="2">
        <f t="shared" si="17"/>
        <v>73</v>
      </c>
      <c r="D112" s="3">
        <f t="shared" si="14"/>
        <v>816.4823619977051</v>
      </c>
      <c r="E112" s="3">
        <f t="shared" si="12"/>
        <v>394.1390329602223</v>
      </c>
      <c r="F112" s="3">
        <f t="shared" si="18"/>
        <v>422.34332903748276</v>
      </c>
      <c r="G112" s="3">
        <f t="shared" si="19"/>
        <v>171565.59832633226</v>
      </c>
      <c r="H112" s="32"/>
      <c r="I112" s="32">
        <f>$G$39-SUM($H$39:$H112)</f>
        <v>200000</v>
      </c>
      <c r="J112" s="68"/>
      <c r="K112" s="2">
        <f t="shared" si="20"/>
        <v>7</v>
      </c>
      <c r="L112" s="2">
        <f t="shared" si="21"/>
        <v>73</v>
      </c>
      <c r="M112" s="3">
        <f>IF(L112&lt;&gt;" ",IF(P111&lt;M111,P111+N112,PMT($O$27,($N$30),-$R111))," ")</f>
        <v>773.3970181413515</v>
      </c>
      <c r="N112" s="3">
        <f t="shared" si="13"/>
        <v>335.5645843084413</v>
      </c>
      <c r="O112" s="3">
        <f t="shared" si="22"/>
        <v>437.8324338329102</v>
      </c>
      <c r="P112" s="3">
        <f t="shared" si="23"/>
        <v>171867.4740146607</v>
      </c>
      <c r="Q112" s="32"/>
      <c r="R112" s="32">
        <f>$G$39-SUM($Q$39:$Q112)</f>
        <v>200000</v>
      </c>
    </row>
    <row r="113" spans="1:18" ht="12.75">
      <c r="A113" s="1">
        <f t="shared" si="15"/>
        <v>43282</v>
      </c>
      <c r="B113" s="2">
        <f t="shared" si="16"/>
        <v>7</v>
      </c>
      <c r="C113" s="2">
        <f t="shared" si="17"/>
        <v>74</v>
      </c>
      <c r="D113" s="3">
        <f t="shared" si="14"/>
        <v>816.4823619977051</v>
      </c>
      <c r="E113" s="3">
        <f t="shared" si="12"/>
        <v>393.1711628311781</v>
      </c>
      <c r="F113" s="3">
        <f t="shared" si="18"/>
        <v>423.311199166527</v>
      </c>
      <c r="G113" s="3">
        <f t="shared" si="19"/>
        <v>171142.28712716574</v>
      </c>
      <c r="H113" s="32"/>
      <c r="I113" s="32">
        <f>$G$39-SUM($H$39:$H113)</f>
        <v>200000</v>
      </c>
      <c r="J113" s="68"/>
      <c r="K113" s="2">
        <f t="shared" si="20"/>
        <v>7</v>
      </c>
      <c r="L113" s="2">
        <f t="shared" si="21"/>
        <v>74</v>
      </c>
      <c r="M113" s="3">
        <f>IF(L113&lt;&gt;" ",IF(P112&lt;M112,P112+N113,PMT($O$27,($N$30),-$R112))," ")</f>
        <v>773.3970181413515</v>
      </c>
      <c r="N113" s="3">
        <f t="shared" si="13"/>
        <v>334.71190564355175</v>
      </c>
      <c r="O113" s="3">
        <f t="shared" si="22"/>
        <v>438.68511249779976</v>
      </c>
      <c r="P113" s="3">
        <f t="shared" si="23"/>
        <v>171428.7889021629</v>
      </c>
      <c r="Q113" s="32"/>
      <c r="R113" s="32">
        <f>$G$39-SUM($Q$39:$Q113)</f>
        <v>200000</v>
      </c>
    </row>
    <row r="114" spans="1:18" ht="12.75">
      <c r="A114" s="1">
        <f t="shared" si="15"/>
        <v>43313</v>
      </c>
      <c r="B114" s="2">
        <f t="shared" si="16"/>
        <v>7</v>
      </c>
      <c r="C114" s="2">
        <f t="shared" si="17"/>
        <v>75</v>
      </c>
      <c r="D114" s="3">
        <f t="shared" si="14"/>
        <v>816.4823619977051</v>
      </c>
      <c r="E114" s="3">
        <f t="shared" si="12"/>
        <v>392.2010746664215</v>
      </c>
      <c r="F114" s="3">
        <f t="shared" si="18"/>
        <v>424.2812873312836</v>
      </c>
      <c r="G114" s="3">
        <f t="shared" si="19"/>
        <v>170718.00583983446</v>
      </c>
      <c r="H114" s="32"/>
      <c r="I114" s="32">
        <f>$G$39-SUM($H$39:$H114)</f>
        <v>200000</v>
      </c>
      <c r="J114" s="68"/>
      <c r="K114" s="2">
        <f t="shared" si="20"/>
        <v>7</v>
      </c>
      <c r="L114" s="2">
        <f t="shared" si="21"/>
        <v>75</v>
      </c>
      <c r="M114" s="3">
        <f>IF(L114&lt;&gt;" ",IF(P113&lt;M113,P113+N114,PMT($O$27,($N$30),-$R113))," ")</f>
        <v>773.3970181413515</v>
      </c>
      <c r="N114" s="3">
        <f t="shared" si="13"/>
        <v>333.8575663869623</v>
      </c>
      <c r="O114" s="3">
        <f t="shared" si="22"/>
        <v>439.53945175438923</v>
      </c>
      <c r="P114" s="3">
        <f t="shared" si="23"/>
        <v>170989.2494504085</v>
      </c>
      <c r="Q114" s="32"/>
      <c r="R114" s="32">
        <f>$G$39-SUM($Q$39:$Q114)</f>
        <v>200000</v>
      </c>
    </row>
    <row r="115" spans="1:18" ht="12.75">
      <c r="A115" s="1">
        <f t="shared" si="15"/>
        <v>43344</v>
      </c>
      <c r="B115" s="2">
        <f t="shared" si="16"/>
        <v>7</v>
      </c>
      <c r="C115" s="2">
        <f t="shared" si="17"/>
        <v>76</v>
      </c>
      <c r="D115" s="3">
        <f t="shared" si="14"/>
        <v>816.4823619977051</v>
      </c>
      <c r="E115" s="3">
        <f t="shared" si="12"/>
        <v>391.22876338295396</v>
      </c>
      <c r="F115" s="3">
        <f t="shared" si="18"/>
        <v>425.2535986147511</v>
      </c>
      <c r="G115" s="3">
        <f t="shared" si="19"/>
        <v>170292.7522412197</v>
      </c>
      <c r="H115" s="32"/>
      <c r="I115" s="32">
        <f>$G$39-SUM($H$39:$H115)</f>
        <v>200000</v>
      </c>
      <c r="J115" s="68"/>
      <c r="K115" s="2">
        <f t="shared" si="20"/>
        <v>7</v>
      </c>
      <c r="L115" s="2">
        <f t="shared" si="21"/>
        <v>76</v>
      </c>
      <c r="M115" s="3">
        <f>IF(L115&lt;&gt;" ",IF(P114&lt;M114,P114+N115,PMT($O$27,($N$30),-$R114))," ")</f>
        <v>773.3970181413515</v>
      </c>
      <c r="N115" s="3">
        <f t="shared" si="13"/>
        <v>333.0015633046706</v>
      </c>
      <c r="O115" s="3">
        <f t="shared" si="22"/>
        <v>440.3954548366809</v>
      </c>
      <c r="P115" s="3">
        <f t="shared" si="23"/>
        <v>170548.85399557182</v>
      </c>
      <c r="Q115" s="32"/>
      <c r="R115" s="32">
        <f>$G$39-SUM($Q$39:$Q115)</f>
        <v>200000</v>
      </c>
    </row>
    <row r="116" spans="1:18" ht="12.75">
      <c r="A116" s="1">
        <f t="shared" si="15"/>
        <v>43374</v>
      </c>
      <c r="B116" s="2">
        <f t="shared" si="16"/>
        <v>7</v>
      </c>
      <c r="C116" s="2">
        <f t="shared" si="17"/>
        <v>77</v>
      </c>
      <c r="D116" s="3">
        <f t="shared" si="14"/>
        <v>816.4823619977051</v>
      </c>
      <c r="E116" s="3">
        <f t="shared" si="12"/>
        <v>390.2542238861285</v>
      </c>
      <c r="F116" s="3">
        <f t="shared" si="18"/>
        <v>426.2281381115766</v>
      </c>
      <c r="G116" s="3">
        <f t="shared" si="19"/>
        <v>169866.52410310812</v>
      </c>
      <c r="H116" s="32"/>
      <c r="I116" s="32">
        <f>$G$39-SUM($H$39:$H116)</f>
        <v>200000</v>
      </c>
      <c r="J116" s="68"/>
      <c r="K116" s="2">
        <f t="shared" si="20"/>
        <v>7</v>
      </c>
      <c r="L116" s="2">
        <f t="shared" si="21"/>
        <v>77</v>
      </c>
      <c r="M116" s="3">
        <f>IF(L116&lt;&gt;" ",IF(P115&lt;M115,P115+N116,PMT($O$27,($N$30),-$R115))," ")</f>
        <v>773.3970181413515</v>
      </c>
      <c r="N116" s="3">
        <f t="shared" si="13"/>
        <v>332.1438931563761</v>
      </c>
      <c r="O116" s="3">
        <f t="shared" si="22"/>
        <v>441.2531249849754</v>
      </c>
      <c r="P116" s="3">
        <f t="shared" si="23"/>
        <v>170107.60087058684</v>
      </c>
      <c r="Q116" s="32"/>
      <c r="R116" s="32">
        <f>$G$39-SUM($Q$39:$Q116)</f>
        <v>200000</v>
      </c>
    </row>
    <row r="117" spans="1:18" ht="12.75">
      <c r="A117" s="1">
        <f t="shared" si="15"/>
        <v>43405</v>
      </c>
      <c r="B117" s="2">
        <f t="shared" si="16"/>
        <v>7</v>
      </c>
      <c r="C117" s="2">
        <f t="shared" si="17"/>
        <v>78</v>
      </c>
      <c r="D117" s="3">
        <f t="shared" si="14"/>
        <v>816.4823619977051</v>
      </c>
      <c r="E117" s="3">
        <f aca="true" t="shared" si="24" ref="E117:E180">IF(C117&lt;&gt;" ",G116*$F$27," ")</f>
        <v>389.27745106962277</v>
      </c>
      <c r="F117" s="3">
        <f t="shared" si="18"/>
        <v>427.2049109280823</v>
      </c>
      <c r="G117" s="3">
        <f t="shared" si="19"/>
        <v>169439.31919218003</v>
      </c>
      <c r="H117" s="32"/>
      <c r="I117" s="32">
        <f>$G$39-SUM($H$39:$H117)</f>
        <v>200000</v>
      </c>
      <c r="J117" s="68"/>
      <c r="K117" s="2">
        <f t="shared" si="20"/>
        <v>7</v>
      </c>
      <c r="L117" s="2">
        <f t="shared" si="21"/>
        <v>78</v>
      </c>
      <c r="M117" s="3">
        <f>IF(L117&lt;&gt;" ",IF(P116&lt;M116,P116+N117,PMT($O$27,($N$30),-$R116))," ")</f>
        <v>773.3970181413515</v>
      </c>
      <c r="N117" s="3">
        <f aca="true" t="shared" si="25" ref="N117:N180">IF(L117&lt;&gt;" ",P116*$O$27," ")</f>
        <v>331.28455269546794</v>
      </c>
      <c r="O117" s="3">
        <f t="shared" si="22"/>
        <v>442.1124654458836</v>
      </c>
      <c r="P117" s="3">
        <f t="shared" si="23"/>
        <v>169665.48840514096</v>
      </c>
      <c r="Q117" s="32"/>
      <c r="R117" s="32">
        <f>$G$39-SUM($Q$39:$Q117)</f>
        <v>200000</v>
      </c>
    </row>
    <row r="118" spans="1:18" ht="12.75">
      <c r="A118" s="1">
        <f t="shared" si="15"/>
        <v>43435</v>
      </c>
      <c r="B118" s="2">
        <f t="shared" si="16"/>
        <v>7</v>
      </c>
      <c r="C118" s="2">
        <f t="shared" si="17"/>
        <v>79</v>
      </c>
      <c r="D118" s="3">
        <f t="shared" si="14"/>
        <v>816.4823619977051</v>
      </c>
      <c r="E118" s="3">
        <f t="shared" si="24"/>
        <v>388.29843981541256</v>
      </c>
      <c r="F118" s="3">
        <f t="shared" si="18"/>
        <v>428.1839221822925</v>
      </c>
      <c r="G118" s="3">
        <f t="shared" si="19"/>
        <v>169011.13526999773</v>
      </c>
      <c r="H118" s="32"/>
      <c r="I118" s="32">
        <f>$G$39-SUM($H$39:$H118)</f>
        <v>200000</v>
      </c>
      <c r="J118" s="68"/>
      <c r="K118" s="2">
        <f t="shared" si="20"/>
        <v>7</v>
      </c>
      <c r="L118" s="2">
        <f t="shared" si="21"/>
        <v>79</v>
      </c>
      <c r="M118" s="3">
        <f>IF(L118&lt;&gt;" ",IF(P117&lt;M117,P117+N118,PMT($O$27,($N$30),-$R117))," ")</f>
        <v>773.3970181413515</v>
      </c>
      <c r="N118" s="3">
        <f t="shared" si="25"/>
        <v>330.42353866901203</v>
      </c>
      <c r="O118" s="3">
        <f t="shared" si="22"/>
        <v>442.9734794723395</v>
      </c>
      <c r="P118" s="3">
        <f t="shared" si="23"/>
        <v>169222.51492566863</v>
      </c>
      <c r="Q118" s="32"/>
      <c r="R118" s="32">
        <f>$G$39-SUM($Q$39:$Q118)</f>
        <v>200000</v>
      </c>
    </row>
    <row r="119" spans="1:18" ht="12.75">
      <c r="A119" s="1">
        <f t="shared" si="15"/>
        <v>43466</v>
      </c>
      <c r="B119" s="2">
        <f t="shared" si="16"/>
        <v>7</v>
      </c>
      <c r="C119" s="2">
        <f t="shared" si="17"/>
        <v>80</v>
      </c>
      <c r="D119" s="3">
        <f t="shared" si="14"/>
        <v>816.4823619977051</v>
      </c>
      <c r="E119" s="3">
        <f t="shared" si="24"/>
        <v>387.3171849937448</v>
      </c>
      <c r="F119" s="3">
        <f t="shared" si="18"/>
        <v>429.1651770039603</v>
      </c>
      <c r="G119" s="3">
        <f t="shared" si="19"/>
        <v>168581.97009299378</v>
      </c>
      <c r="H119" s="32"/>
      <c r="I119" s="32">
        <f>$G$39-SUM($H$39:$H119)</f>
        <v>200000</v>
      </c>
      <c r="J119" s="68"/>
      <c r="K119" s="2">
        <f t="shared" si="20"/>
        <v>7</v>
      </c>
      <c r="L119" s="2">
        <f t="shared" si="21"/>
        <v>80</v>
      </c>
      <c r="M119" s="3">
        <f>IF(L119&lt;&gt;" ",IF(P118&lt;M118,P118+N119,PMT($O$27,($N$30),-$R118))," ")</f>
        <v>773.3970181413515</v>
      </c>
      <c r="N119" s="3">
        <f t="shared" si="25"/>
        <v>329.56084781773967</v>
      </c>
      <c r="O119" s="3">
        <f t="shared" si="22"/>
        <v>443.83617032361184</v>
      </c>
      <c r="P119" s="3">
        <f t="shared" si="23"/>
        <v>168778.67875534503</v>
      </c>
      <c r="Q119" s="32"/>
      <c r="R119" s="32">
        <f>$G$39-SUM($Q$39:$Q119)</f>
        <v>200000</v>
      </c>
    </row>
    <row r="120" spans="1:18" ht="12.75">
      <c r="A120" s="1">
        <f t="shared" si="15"/>
        <v>43497</v>
      </c>
      <c r="B120" s="2">
        <f t="shared" si="16"/>
        <v>7</v>
      </c>
      <c r="C120" s="2">
        <f t="shared" si="17"/>
        <v>81</v>
      </c>
      <c r="D120" s="3">
        <f aca="true" t="shared" si="26" ref="D120:D183">IF(C120&lt;&gt;" ",IF(G119&lt;D119,G119+E120,PMT($F$27,($E$30),-I119))," ")</f>
        <v>816.4823619977051</v>
      </c>
      <c r="E120" s="3">
        <f t="shared" si="24"/>
        <v>386.33368146311074</v>
      </c>
      <c r="F120" s="3">
        <f t="shared" si="18"/>
        <v>430.14868053459435</v>
      </c>
      <c r="G120" s="3">
        <f t="shared" si="19"/>
        <v>168151.8214124592</v>
      </c>
      <c r="H120" s="32"/>
      <c r="I120" s="32">
        <f>$G$39-SUM($H$39:$H120)</f>
        <v>200000</v>
      </c>
      <c r="J120" s="68"/>
      <c r="K120" s="2">
        <f t="shared" si="20"/>
        <v>7</v>
      </c>
      <c r="L120" s="2">
        <f t="shared" si="21"/>
        <v>81</v>
      </c>
      <c r="M120" s="3">
        <f>IF(L120&lt;&gt;" ",IF(P119&lt;M119,P119+N120,PMT($O$27,($N$30),-$R119))," ")</f>
        <v>773.3970181413515</v>
      </c>
      <c r="N120" s="3">
        <f t="shared" si="25"/>
        <v>328.69647687603447</v>
      </c>
      <c r="O120" s="3">
        <f t="shared" si="22"/>
        <v>444.70054126531704</v>
      </c>
      <c r="P120" s="3">
        <f t="shared" si="23"/>
        <v>168333.97821407972</v>
      </c>
      <c r="Q120" s="32"/>
      <c r="R120" s="32">
        <f>$G$39-SUM($Q$39:$Q120)</f>
        <v>200000</v>
      </c>
    </row>
    <row r="121" spans="1:18" ht="12.75">
      <c r="A121" s="1">
        <f t="shared" si="15"/>
        <v>43525</v>
      </c>
      <c r="B121" s="2">
        <f t="shared" si="16"/>
        <v>7</v>
      </c>
      <c r="C121" s="2">
        <f t="shared" si="17"/>
        <v>82</v>
      </c>
      <c r="D121" s="3">
        <f t="shared" si="26"/>
        <v>816.4823619977051</v>
      </c>
      <c r="E121" s="3">
        <f t="shared" si="24"/>
        <v>385.347924070219</v>
      </c>
      <c r="F121" s="3">
        <f t="shared" si="18"/>
        <v>431.1344379274861</v>
      </c>
      <c r="G121" s="3">
        <f t="shared" si="19"/>
        <v>167720.6869745317</v>
      </c>
      <c r="H121" s="32"/>
      <c r="I121" s="32">
        <f>$G$39-SUM($H$39:$H121)</f>
        <v>200000</v>
      </c>
      <c r="J121" s="68"/>
      <c r="K121" s="2">
        <f t="shared" si="20"/>
        <v>7</v>
      </c>
      <c r="L121" s="2">
        <f t="shared" si="21"/>
        <v>82</v>
      </c>
      <c r="M121" s="3">
        <f>IF(L121&lt;&gt;" ",IF(P120&lt;M120,P120+N121,PMT($O$27,($N$30),-$R120))," ")</f>
        <v>773.3970181413515</v>
      </c>
      <c r="N121" s="3">
        <f t="shared" si="25"/>
        <v>327.8304225719203</v>
      </c>
      <c r="O121" s="3">
        <f t="shared" si="22"/>
        <v>445.56659556943123</v>
      </c>
      <c r="P121" s="3">
        <f t="shared" si="23"/>
        <v>167888.4116185103</v>
      </c>
      <c r="Q121" s="32"/>
      <c r="R121" s="32">
        <f>$G$39-SUM($Q$39:$Q121)</f>
        <v>200000</v>
      </c>
    </row>
    <row r="122" spans="1:18" ht="12.75">
      <c r="A122" s="1">
        <f t="shared" si="15"/>
        <v>43556</v>
      </c>
      <c r="B122" s="2">
        <f t="shared" si="16"/>
        <v>7</v>
      </c>
      <c r="C122" s="2">
        <f t="shared" si="17"/>
        <v>83</v>
      </c>
      <c r="D122" s="3">
        <f t="shared" si="26"/>
        <v>816.4823619977051</v>
      </c>
      <c r="E122" s="3">
        <f t="shared" si="24"/>
        <v>384.3599076499685</v>
      </c>
      <c r="F122" s="3">
        <f t="shared" si="18"/>
        <v>432.1224543477366</v>
      </c>
      <c r="G122" s="3">
        <f t="shared" si="19"/>
        <v>167288.56452018398</v>
      </c>
      <c r="H122" s="32"/>
      <c r="I122" s="32">
        <f>$G$39-SUM($H$39:$H122)</f>
        <v>200000</v>
      </c>
      <c r="J122" s="68"/>
      <c r="K122" s="2">
        <f t="shared" si="20"/>
        <v>7</v>
      </c>
      <c r="L122" s="2">
        <f t="shared" si="21"/>
        <v>83</v>
      </c>
      <c r="M122" s="3">
        <f>IF(L122&lt;&gt;" ",IF(P121&lt;M121,P121+N122,PMT($O$27,($N$30),-$R121))," ")</f>
        <v>773.3970181413515</v>
      </c>
      <c r="N122" s="3">
        <f t="shared" si="25"/>
        <v>326.9626816270488</v>
      </c>
      <c r="O122" s="3">
        <f t="shared" si="22"/>
        <v>446.4343365143027</v>
      </c>
      <c r="P122" s="3">
        <f t="shared" si="23"/>
        <v>167441.977281996</v>
      </c>
      <c r="Q122" s="32"/>
      <c r="R122" s="32">
        <f>$G$39-SUM($Q$39:$Q122)</f>
        <v>200000</v>
      </c>
    </row>
    <row r="123" spans="1:18" ht="12.75">
      <c r="A123" s="1">
        <f t="shared" si="15"/>
        <v>43586</v>
      </c>
      <c r="B123" s="2">
        <f t="shared" si="16"/>
        <v>7</v>
      </c>
      <c r="C123" s="2">
        <f t="shared" si="17"/>
        <v>84</v>
      </c>
      <c r="D123" s="3">
        <f t="shared" si="26"/>
        <v>816.4823619977051</v>
      </c>
      <c r="E123" s="3">
        <f t="shared" si="24"/>
        <v>383.3696270254216</v>
      </c>
      <c r="F123" s="3">
        <f t="shared" si="18"/>
        <v>433.1127349722835</v>
      </c>
      <c r="G123" s="3">
        <f t="shared" si="19"/>
        <v>166855.45178521168</v>
      </c>
      <c r="H123" s="32"/>
      <c r="I123" s="32">
        <f>$G$39-SUM($H$39:$H123)</f>
        <v>200000</v>
      </c>
      <c r="J123" s="68"/>
      <c r="K123" s="2">
        <f t="shared" si="20"/>
        <v>7</v>
      </c>
      <c r="L123" s="2">
        <f t="shared" si="21"/>
        <v>84</v>
      </c>
      <c r="M123" s="3">
        <f>IF(L123&lt;&gt;" ",IF(P122&lt;M122,P122+N123,PMT($O$27,($N$30),-$R122))," ")</f>
        <v>773.3970181413515</v>
      </c>
      <c r="N123" s="3">
        <f t="shared" si="25"/>
        <v>326.0932507566872</v>
      </c>
      <c r="O123" s="3">
        <f t="shared" si="22"/>
        <v>447.3037673846643</v>
      </c>
      <c r="P123" s="3">
        <f t="shared" si="23"/>
        <v>166994.67351461132</v>
      </c>
      <c r="Q123" s="32"/>
      <c r="R123" s="32">
        <f>$G$39-SUM($Q$39:$Q123)</f>
        <v>200000</v>
      </c>
    </row>
    <row r="124" spans="1:18" ht="12.75">
      <c r="A124" s="1">
        <f t="shared" si="15"/>
        <v>43617</v>
      </c>
      <c r="B124" s="2">
        <f t="shared" si="16"/>
        <v>8</v>
      </c>
      <c r="C124" s="2">
        <f t="shared" si="17"/>
        <v>85</v>
      </c>
      <c r="D124" s="3">
        <f t="shared" si="26"/>
        <v>816.4823619977051</v>
      </c>
      <c r="E124" s="3">
        <f t="shared" si="24"/>
        <v>382.3770770077768</v>
      </c>
      <c r="F124" s="3">
        <f t="shared" si="18"/>
        <v>434.1052849899283</v>
      </c>
      <c r="G124" s="3">
        <f t="shared" si="19"/>
        <v>166421.34650022176</v>
      </c>
      <c r="H124" s="32"/>
      <c r="I124" s="32">
        <f>$G$39-SUM($H$39:$H124)</f>
        <v>200000</v>
      </c>
      <c r="J124" s="68"/>
      <c r="K124" s="2">
        <f t="shared" si="20"/>
        <v>8</v>
      </c>
      <c r="L124" s="2">
        <f t="shared" si="21"/>
        <v>85</v>
      </c>
      <c r="M124" s="3">
        <f>IF(L124&lt;&gt;" ",IF(P123&lt;M123,P123+N124,PMT($O$27,($N$30),-$R123))," ")</f>
        <v>773.3970181413515</v>
      </c>
      <c r="N124" s="3">
        <f t="shared" si="25"/>
        <v>325.2221266697056</v>
      </c>
      <c r="O124" s="3">
        <f t="shared" si="22"/>
        <v>448.17489147164594</v>
      </c>
      <c r="P124" s="3">
        <f t="shared" si="23"/>
        <v>166546.49862313966</v>
      </c>
      <c r="Q124" s="32"/>
      <c r="R124" s="32">
        <f>$G$39-SUM($Q$39:$Q124)</f>
        <v>200000</v>
      </c>
    </row>
    <row r="125" spans="1:18" ht="12.75">
      <c r="A125" s="1">
        <f t="shared" si="15"/>
        <v>43647</v>
      </c>
      <c r="B125" s="2">
        <f t="shared" si="16"/>
        <v>8</v>
      </c>
      <c r="C125" s="2">
        <f t="shared" si="17"/>
        <v>86</v>
      </c>
      <c r="D125" s="3">
        <f t="shared" si="26"/>
        <v>816.4823619977051</v>
      </c>
      <c r="E125" s="3">
        <f t="shared" si="24"/>
        <v>381.3822523963415</v>
      </c>
      <c r="F125" s="3">
        <f t="shared" si="18"/>
        <v>435.10010960136356</v>
      </c>
      <c r="G125" s="3">
        <f t="shared" si="19"/>
        <v>165986.2463906204</v>
      </c>
      <c r="H125" s="32"/>
      <c r="I125" s="32">
        <f>$G$39-SUM($H$39:$H125)</f>
        <v>200000</v>
      </c>
      <c r="J125" s="68"/>
      <c r="K125" s="2">
        <f t="shared" si="20"/>
        <v>8</v>
      </c>
      <c r="L125" s="2">
        <f t="shared" si="21"/>
        <v>86</v>
      </c>
      <c r="M125" s="3">
        <f>IF(L125&lt;&gt;" ",IF(P124&lt;M124,P124+N125,PMT($O$27,($N$30),-$R124))," ")</f>
        <v>773.3970181413515</v>
      </c>
      <c r="N125" s="3">
        <f t="shared" si="25"/>
        <v>324.34930606856454</v>
      </c>
      <c r="O125" s="3">
        <f t="shared" si="22"/>
        <v>449.04771207278696</v>
      </c>
      <c r="P125" s="3">
        <f t="shared" si="23"/>
        <v>166097.45091106687</v>
      </c>
      <c r="Q125" s="32"/>
      <c r="R125" s="32">
        <f>$G$39-SUM($Q$39:$Q125)</f>
        <v>200000</v>
      </c>
    </row>
    <row r="126" spans="1:18" ht="12.75">
      <c r="A126" s="1">
        <f t="shared" si="15"/>
        <v>43678</v>
      </c>
      <c r="B126" s="2">
        <f t="shared" si="16"/>
        <v>8</v>
      </c>
      <c r="C126" s="2">
        <f t="shared" si="17"/>
        <v>87</v>
      </c>
      <c r="D126" s="3">
        <f t="shared" si="26"/>
        <v>816.4823619977051</v>
      </c>
      <c r="E126" s="3">
        <f t="shared" si="24"/>
        <v>380.3851479785051</v>
      </c>
      <c r="F126" s="3">
        <f t="shared" si="18"/>
        <v>436.0972140192</v>
      </c>
      <c r="G126" s="3">
        <f t="shared" si="19"/>
        <v>165550.1491766012</v>
      </c>
      <c r="H126" s="32"/>
      <c r="I126" s="32">
        <f>$G$39-SUM($H$39:$H126)</f>
        <v>200000</v>
      </c>
      <c r="J126" s="68"/>
      <c r="K126" s="2">
        <f t="shared" si="20"/>
        <v>8</v>
      </c>
      <c r="L126" s="2">
        <f t="shared" si="21"/>
        <v>87</v>
      </c>
      <c r="M126" s="3">
        <f>IF(L126&lt;&gt;" ",IF(P125&lt;M125,P125+N126,PMT($O$27,($N$30),-$R125))," ")</f>
        <v>773.3970181413515</v>
      </c>
      <c r="N126" s="3">
        <f t="shared" si="25"/>
        <v>323.47478564930276</v>
      </c>
      <c r="O126" s="3">
        <f t="shared" si="22"/>
        <v>449.92223249204875</v>
      </c>
      <c r="P126" s="3">
        <f t="shared" si="23"/>
        <v>165647.52867857483</v>
      </c>
      <c r="Q126" s="32"/>
      <c r="R126" s="32">
        <f>$G$39-SUM($Q$39:$Q126)</f>
        <v>200000</v>
      </c>
    </row>
    <row r="127" spans="1:18" ht="12.75">
      <c r="A127" s="1">
        <f t="shared" si="15"/>
        <v>43709</v>
      </c>
      <c r="B127" s="2">
        <f t="shared" si="16"/>
        <v>8</v>
      </c>
      <c r="C127" s="2">
        <f t="shared" si="17"/>
        <v>88</v>
      </c>
      <c r="D127" s="3">
        <f t="shared" si="26"/>
        <v>816.4823619977051</v>
      </c>
      <c r="E127" s="3">
        <f t="shared" si="24"/>
        <v>379.3857585297111</v>
      </c>
      <c r="F127" s="3">
        <f t="shared" si="18"/>
        <v>437.096603467994</v>
      </c>
      <c r="G127" s="3">
        <f t="shared" si="19"/>
        <v>165113.0525731332</v>
      </c>
      <c r="H127" s="32"/>
      <c r="I127" s="32">
        <f>$G$39-SUM($H$39:$H127)</f>
        <v>200000</v>
      </c>
      <c r="J127" s="68"/>
      <c r="K127" s="2">
        <f t="shared" si="20"/>
        <v>8</v>
      </c>
      <c r="L127" s="2">
        <f t="shared" si="21"/>
        <v>88</v>
      </c>
      <c r="M127" s="3">
        <f>IF(L127&lt;&gt;" ",IF(P126&lt;M126,P126+N127,PMT($O$27,($N$30),-$R126))," ")</f>
        <v>773.3970181413515</v>
      </c>
      <c r="N127" s="3">
        <f t="shared" si="25"/>
        <v>322.5985621015245</v>
      </c>
      <c r="O127" s="3">
        <f t="shared" si="22"/>
        <v>450.798456039827</v>
      </c>
      <c r="P127" s="3">
        <f t="shared" si="23"/>
        <v>165196.730222535</v>
      </c>
      <c r="Q127" s="32"/>
      <c r="R127" s="32">
        <f>$G$39-SUM($Q$39:$Q127)</f>
        <v>200000</v>
      </c>
    </row>
    <row r="128" spans="1:18" ht="12.75">
      <c r="A128" s="1">
        <f t="shared" si="15"/>
        <v>43739</v>
      </c>
      <c r="B128" s="2">
        <f t="shared" si="16"/>
        <v>8</v>
      </c>
      <c r="C128" s="2">
        <f t="shared" si="17"/>
        <v>89</v>
      </c>
      <c r="D128" s="3">
        <f t="shared" si="26"/>
        <v>816.4823619977051</v>
      </c>
      <c r="E128" s="3">
        <f t="shared" si="24"/>
        <v>378.3840788134303</v>
      </c>
      <c r="F128" s="3">
        <f t="shared" si="18"/>
        <v>438.0982831842748</v>
      </c>
      <c r="G128" s="3">
        <f t="shared" si="19"/>
        <v>164674.95428994892</v>
      </c>
      <c r="H128" s="32"/>
      <c r="I128" s="32">
        <f>$G$39-SUM($H$39:$H128)</f>
        <v>200000</v>
      </c>
      <c r="J128" s="68"/>
      <c r="K128" s="2">
        <f t="shared" si="20"/>
        <v>8</v>
      </c>
      <c r="L128" s="2">
        <f t="shared" si="21"/>
        <v>89</v>
      </c>
      <c r="M128" s="3">
        <f>IF(L128&lt;&gt;" ",IF(P127&lt;M127,P127+N128,PMT($O$27,($N$30),-$R127))," ")</f>
        <v>773.3970181413515</v>
      </c>
      <c r="N128" s="3">
        <f t="shared" si="25"/>
        <v>321.72063210838695</v>
      </c>
      <c r="O128" s="3">
        <f t="shared" si="22"/>
        <v>451.67638603296456</v>
      </c>
      <c r="P128" s="3">
        <f t="shared" si="23"/>
        <v>164745.05383650205</v>
      </c>
      <c r="Q128" s="32"/>
      <c r="R128" s="32">
        <f>$G$39-SUM($Q$39:$Q128)</f>
        <v>200000</v>
      </c>
    </row>
    <row r="129" spans="1:18" ht="12.75">
      <c r="A129" s="1">
        <f t="shared" si="15"/>
        <v>43770</v>
      </c>
      <c r="B129" s="2">
        <f t="shared" si="16"/>
        <v>8</v>
      </c>
      <c r="C129" s="2">
        <f t="shared" si="17"/>
        <v>90</v>
      </c>
      <c r="D129" s="3">
        <f t="shared" si="26"/>
        <v>816.4823619977051</v>
      </c>
      <c r="E129" s="3">
        <f t="shared" si="24"/>
        <v>377.3801035811329</v>
      </c>
      <c r="F129" s="3">
        <f t="shared" si="18"/>
        <v>439.10225841657217</v>
      </c>
      <c r="G129" s="3">
        <f t="shared" si="19"/>
        <v>164235.85203153235</v>
      </c>
      <c r="H129" s="32"/>
      <c r="I129" s="32">
        <f>$G$39-SUM($H$39:$H129)</f>
        <v>200000</v>
      </c>
      <c r="J129" s="68"/>
      <c r="K129" s="2">
        <f t="shared" si="20"/>
        <v>8</v>
      </c>
      <c r="L129" s="2">
        <f t="shared" si="21"/>
        <v>90</v>
      </c>
      <c r="M129" s="3">
        <f>IF(L129&lt;&gt;" ",IF(P128&lt;M128,P128+N129,PMT($O$27,($N$30),-$R128))," ")</f>
        <v>773.3970181413515</v>
      </c>
      <c r="N129" s="3">
        <f t="shared" si="25"/>
        <v>320.84099234658777</v>
      </c>
      <c r="O129" s="3">
        <f t="shared" si="22"/>
        <v>452.55602579476374</v>
      </c>
      <c r="P129" s="3">
        <f t="shared" si="23"/>
        <v>164292.49781070728</v>
      </c>
      <c r="Q129" s="32"/>
      <c r="R129" s="32">
        <f>$G$39-SUM($Q$39:$Q129)</f>
        <v>200000</v>
      </c>
    </row>
    <row r="130" spans="1:18" ht="12.75">
      <c r="A130" s="1">
        <f t="shared" si="15"/>
        <v>43800</v>
      </c>
      <c r="B130" s="2">
        <f t="shared" si="16"/>
        <v>8</v>
      </c>
      <c r="C130" s="2">
        <f t="shared" si="17"/>
        <v>91</v>
      </c>
      <c r="D130" s="3">
        <f t="shared" si="26"/>
        <v>816.4823619977051</v>
      </c>
      <c r="E130" s="3">
        <f t="shared" si="24"/>
        <v>376.37382757226163</v>
      </c>
      <c r="F130" s="3">
        <f t="shared" si="18"/>
        <v>440.10853442544345</v>
      </c>
      <c r="G130" s="3">
        <f t="shared" si="19"/>
        <v>163795.74349710692</v>
      </c>
      <c r="H130" s="32"/>
      <c r="I130" s="32">
        <f>$G$39-SUM($H$39:$H130)</f>
        <v>200000</v>
      </c>
      <c r="J130" s="68"/>
      <c r="K130" s="2">
        <f t="shared" si="20"/>
        <v>8</v>
      </c>
      <c r="L130" s="2">
        <f t="shared" si="21"/>
        <v>91</v>
      </c>
      <c r="M130" s="3">
        <f>IF(L130&lt;&gt;" ",IF(P129&lt;M129,P129+N130,PMT($O$27,($N$30),-$R129))," ")</f>
        <v>773.3970181413515</v>
      </c>
      <c r="N130" s="3">
        <f t="shared" si="25"/>
        <v>319.95963948635244</v>
      </c>
      <c r="O130" s="3">
        <f t="shared" si="22"/>
        <v>453.43737865499907</v>
      </c>
      <c r="P130" s="3">
        <f t="shared" si="23"/>
        <v>163839.06043205227</v>
      </c>
      <c r="Q130" s="32"/>
      <c r="R130" s="32">
        <f>$G$39-SUM($Q$39:$Q130)</f>
        <v>200000</v>
      </c>
    </row>
    <row r="131" spans="1:18" ht="12.75">
      <c r="A131" s="1">
        <f t="shared" si="15"/>
        <v>43831</v>
      </c>
      <c r="B131" s="2">
        <f t="shared" si="16"/>
        <v>8</v>
      </c>
      <c r="C131" s="2">
        <f t="shared" si="17"/>
        <v>92</v>
      </c>
      <c r="D131" s="3">
        <f t="shared" si="26"/>
        <v>816.4823619977051</v>
      </c>
      <c r="E131" s="3">
        <f t="shared" si="24"/>
        <v>375.36524551420337</v>
      </c>
      <c r="F131" s="3">
        <f t="shared" si="18"/>
        <v>441.1171164835017</v>
      </c>
      <c r="G131" s="3">
        <f t="shared" si="19"/>
        <v>163354.6263806234</v>
      </c>
      <c r="H131" s="32"/>
      <c r="I131" s="32">
        <f>$G$39-SUM($H$39:$H131)</f>
        <v>200000</v>
      </c>
      <c r="J131" s="68"/>
      <c r="K131" s="2">
        <f t="shared" si="20"/>
        <v>8</v>
      </c>
      <c r="L131" s="2">
        <f t="shared" si="21"/>
        <v>92</v>
      </c>
      <c r="M131" s="3">
        <f>IF(L131&lt;&gt;" ",IF(P130&lt;M130,P130+N131,PMT($O$27,($N$30),-$R130))," ")</f>
        <v>773.3970181413515</v>
      </c>
      <c r="N131" s="3">
        <f t="shared" si="25"/>
        <v>319.0765701914218</v>
      </c>
      <c r="O131" s="3">
        <f t="shared" si="22"/>
        <v>454.3204479499297</v>
      </c>
      <c r="P131" s="3">
        <f t="shared" si="23"/>
        <v>163384.73998410234</v>
      </c>
      <c r="Q131" s="32"/>
      <c r="R131" s="32">
        <f>$G$39-SUM($Q$39:$Q131)</f>
        <v>200000</v>
      </c>
    </row>
    <row r="132" spans="1:18" ht="12.75">
      <c r="A132" s="1">
        <f t="shared" si="15"/>
        <v>43862</v>
      </c>
      <c r="B132" s="2">
        <f t="shared" si="16"/>
        <v>8</v>
      </c>
      <c r="C132" s="2">
        <f t="shared" si="17"/>
        <v>93</v>
      </c>
      <c r="D132" s="3">
        <f t="shared" si="26"/>
        <v>816.4823619977051</v>
      </c>
      <c r="E132" s="3">
        <f t="shared" si="24"/>
        <v>374.35435212226196</v>
      </c>
      <c r="F132" s="3">
        <f t="shared" si="18"/>
        <v>442.1280098754431</v>
      </c>
      <c r="G132" s="3">
        <f t="shared" si="19"/>
        <v>162912.49837074796</v>
      </c>
      <c r="H132" s="32"/>
      <c r="I132" s="32">
        <f>$G$39-SUM($H$39:$H132)</f>
        <v>200000</v>
      </c>
      <c r="J132" s="68"/>
      <c r="K132" s="2">
        <f t="shared" si="20"/>
        <v>8</v>
      </c>
      <c r="L132" s="2">
        <f t="shared" si="21"/>
        <v>93</v>
      </c>
      <c r="M132" s="3">
        <f>IF(L132&lt;&gt;" ",IF(P131&lt;M131,P131+N132,PMT($O$27,($N$30),-$R131))," ")</f>
        <v>773.3970181413515</v>
      </c>
      <c r="N132" s="3">
        <f t="shared" si="25"/>
        <v>318.1917811190394</v>
      </c>
      <c r="O132" s="3">
        <f t="shared" si="22"/>
        <v>455.20523702231213</v>
      </c>
      <c r="P132" s="3">
        <f t="shared" si="23"/>
        <v>162929.53474708003</v>
      </c>
      <c r="Q132" s="32"/>
      <c r="R132" s="32">
        <f>$G$39-SUM($Q$39:$Q132)</f>
        <v>200000</v>
      </c>
    </row>
    <row r="133" spans="1:18" ht="12.75">
      <c r="A133" s="1">
        <f t="shared" si="15"/>
        <v>43891</v>
      </c>
      <c r="B133" s="2">
        <f t="shared" si="16"/>
        <v>8</v>
      </c>
      <c r="C133" s="2">
        <f t="shared" si="17"/>
        <v>94</v>
      </c>
      <c r="D133" s="3">
        <f t="shared" si="26"/>
        <v>816.4823619977051</v>
      </c>
      <c r="E133" s="3">
        <f t="shared" si="24"/>
        <v>373.34114209963076</v>
      </c>
      <c r="F133" s="3">
        <f t="shared" si="18"/>
        <v>443.1412198980743</v>
      </c>
      <c r="G133" s="3">
        <f t="shared" si="19"/>
        <v>162469.3571508499</v>
      </c>
      <c r="H133" s="32"/>
      <c r="I133" s="32">
        <f>$G$39-SUM($H$39:$H133)</f>
        <v>200000</v>
      </c>
      <c r="J133" s="68"/>
      <c r="K133" s="2">
        <f t="shared" si="20"/>
        <v>8</v>
      </c>
      <c r="L133" s="2">
        <f t="shared" si="21"/>
        <v>94</v>
      </c>
      <c r="M133" s="3">
        <f>IF(L133&lt;&gt;" ",IF(P132&lt;M132,P132+N133,PMT($O$27,($N$30),-$R132))," ")</f>
        <v>773.3970181413515</v>
      </c>
      <c r="N133" s="3">
        <f t="shared" si="25"/>
        <v>317.3052689199384</v>
      </c>
      <c r="O133" s="3">
        <f t="shared" si="22"/>
        <v>456.0917492214131</v>
      </c>
      <c r="P133" s="3">
        <f t="shared" si="23"/>
        <v>162473.44299785863</v>
      </c>
      <c r="Q133" s="32"/>
      <c r="R133" s="32">
        <f>$G$39-SUM($Q$39:$Q133)</f>
        <v>200000</v>
      </c>
    </row>
    <row r="134" spans="1:18" ht="12.75">
      <c r="A134" s="1">
        <f t="shared" si="15"/>
        <v>43922</v>
      </c>
      <c r="B134" s="2">
        <f t="shared" si="16"/>
        <v>8</v>
      </c>
      <c r="C134" s="2">
        <f t="shared" si="17"/>
        <v>95</v>
      </c>
      <c r="D134" s="3">
        <f t="shared" si="26"/>
        <v>816.4823619977051</v>
      </c>
      <c r="E134" s="3">
        <f t="shared" si="24"/>
        <v>372.3256101373643</v>
      </c>
      <c r="F134" s="3">
        <f t="shared" si="18"/>
        <v>444.15675186034076</v>
      </c>
      <c r="G134" s="3">
        <f t="shared" si="19"/>
        <v>162025.20039898955</v>
      </c>
      <c r="H134" s="32"/>
      <c r="I134" s="32">
        <f>$G$39-SUM($H$39:$H134)</f>
        <v>200000</v>
      </c>
      <c r="J134" s="68"/>
      <c r="K134" s="2">
        <f t="shared" si="20"/>
        <v>8</v>
      </c>
      <c r="L134" s="2">
        <f t="shared" si="21"/>
        <v>95</v>
      </c>
      <c r="M134" s="3">
        <f>IF(L134&lt;&gt;" ",IF(P133&lt;M133,P133+N134,PMT($O$27,($N$30),-$R133))," ")</f>
        <v>773.3970181413515</v>
      </c>
      <c r="N134" s="3">
        <f t="shared" si="25"/>
        <v>316.4170302383297</v>
      </c>
      <c r="O134" s="3">
        <f t="shared" si="22"/>
        <v>456.9799879030218</v>
      </c>
      <c r="P134" s="3">
        <f t="shared" si="23"/>
        <v>162016.4630099556</v>
      </c>
      <c r="Q134" s="32"/>
      <c r="R134" s="32">
        <f>$G$39-SUM($Q$39:$Q134)</f>
        <v>200000</v>
      </c>
    </row>
    <row r="135" spans="1:18" ht="12.75">
      <c r="A135" s="1">
        <f t="shared" si="15"/>
        <v>43952</v>
      </c>
      <c r="B135" s="2">
        <f t="shared" si="16"/>
        <v>8</v>
      </c>
      <c r="C135" s="2">
        <f t="shared" si="17"/>
        <v>96</v>
      </c>
      <c r="D135" s="3">
        <f t="shared" si="26"/>
        <v>816.4823619977051</v>
      </c>
      <c r="E135" s="3">
        <f t="shared" si="24"/>
        <v>371.30775091435106</v>
      </c>
      <c r="F135" s="3">
        <f t="shared" si="18"/>
        <v>445.174611083354</v>
      </c>
      <c r="G135" s="3">
        <f t="shared" si="19"/>
        <v>161580.0257879062</v>
      </c>
      <c r="H135" s="32"/>
      <c r="I135" s="32">
        <f>$G$39-SUM($H$39:$H135)</f>
        <v>200000</v>
      </c>
      <c r="J135" s="68"/>
      <c r="K135" s="2">
        <f t="shared" si="20"/>
        <v>8</v>
      </c>
      <c r="L135" s="2">
        <f t="shared" si="21"/>
        <v>96</v>
      </c>
      <c r="M135" s="3">
        <f>IF(L135&lt;&gt;" ",IF(P134&lt;M134,P134+N135,PMT($O$27,($N$30),-$R134))," ")</f>
        <v>773.3970181413515</v>
      </c>
      <c r="N135" s="3">
        <f t="shared" si="25"/>
        <v>315.52706171188856</v>
      </c>
      <c r="O135" s="3">
        <f t="shared" si="22"/>
        <v>457.86995642946295</v>
      </c>
      <c r="P135" s="3">
        <f t="shared" si="23"/>
        <v>161558.59305352613</v>
      </c>
      <c r="Q135" s="32"/>
      <c r="R135" s="32">
        <f>$G$39-SUM($Q$39:$Q135)</f>
        <v>200000</v>
      </c>
    </row>
    <row r="136" spans="1:18" ht="12.75">
      <c r="A136" s="1">
        <f t="shared" si="15"/>
        <v>43983</v>
      </c>
      <c r="B136" s="2">
        <f t="shared" si="16"/>
        <v>9</v>
      </c>
      <c r="C136" s="2">
        <f t="shared" si="17"/>
        <v>97</v>
      </c>
      <c r="D136" s="3">
        <f t="shared" si="26"/>
        <v>816.4823619977051</v>
      </c>
      <c r="E136" s="3">
        <f t="shared" si="24"/>
        <v>370.28755909728505</v>
      </c>
      <c r="F136" s="3">
        <f t="shared" si="18"/>
        <v>446.19480290042003</v>
      </c>
      <c r="G136" s="3">
        <f t="shared" si="19"/>
        <v>161133.83098500577</v>
      </c>
      <c r="H136" s="32"/>
      <c r="I136" s="32">
        <f>$G$39-SUM($H$39:$H136)</f>
        <v>200000</v>
      </c>
      <c r="J136" s="68"/>
      <c r="K136" s="2">
        <f t="shared" si="20"/>
        <v>9</v>
      </c>
      <c r="L136" s="2">
        <f t="shared" si="21"/>
        <v>97</v>
      </c>
      <c r="M136" s="3">
        <f>IF(L136&lt;&gt;" ",IF(P135&lt;M135,P135+N136,PMT($O$27,($N$30),-$R135))," ")</f>
        <v>773.3970181413515</v>
      </c>
      <c r="N136" s="3">
        <f t="shared" si="25"/>
        <v>314.63535997174216</v>
      </c>
      <c r="O136" s="3">
        <f t="shared" si="22"/>
        <v>458.76165816960935</v>
      </c>
      <c r="P136" s="3">
        <f t="shared" si="23"/>
        <v>161099.8313953565</v>
      </c>
      <c r="Q136" s="32"/>
      <c r="R136" s="32">
        <f>$G$39-SUM($Q$39:$Q136)</f>
        <v>200000</v>
      </c>
    </row>
    <row r="137" spans="1:18" ht="12.75">
      <c r="A137" s="1">
        <f t="shared" si="15"/>
        <v>44013</v>
      </c>
      <c r="B137" s="2">
        <f t="shared" si="16"/>
        <v>9</v>
      </c>
      <c r="C137" s="2">
        <f t="shared" si="17"/>
        <v>98</v>
      </c>
      <c r="D137" s="3">
        <f t="shared" si="26"/>
        <v>816.4823619977051</v>
      </c>
      <c r="E137" s="3">
        <f t="shared" si="24"/>
        <v>369.26502934063825</v>
      </c>
      <c r="F137" s="3">
        <f t="shared" si="18"/>
        <v>447.21733265706683</v>
      </c>
      <c r="G137" s="3">
        <f t="shared" si="19"/>
        <v>160686.6136523487</v>
      </c>
      <c r="H137" s="32"/>
      <c r="I137" s="32">
        <f>$G$39-SUM($H$39:$H137)</f>
        <v>200000</v>
      </c>
      <c r="J137" s="68"/>
      <c r="K137" s="2">
        <f t="shared" si="20"/>
        <v>9</v>
      </c>
      <c r="L137" s="2">
        <f t="shared" si="21"/>
        <v>98</v>
      </c>
      <c r="M137" s="3">
        <f>IF(L137&lt;&gt;" ",IF(P136&lt;M136,P136+N137,PMT($O$27,($N$30),-$R136))," ")</f>
        <v>773.3970181413515</v>
      </c>
      <c r="N137" s="3">
        <f t="shared" si="25"/>
        <v>313.7419216424568</v>
      </c>
      <c r="O137" s="3">
        <f t="shared" si="22"/>
        <v>459.6550964988947</v>
      </c>
      <c r="P137" s="3">
        <f t="shared" si="23"/>
        <v>160640.1762988576</v>
      </c>
      <c r="Q137" s="32"/>
      <c r="R137" s="32">
        <f>$G$39-SUM($Q$39:$Q137)</f>
        <v>200000</v>
      </c>
    </row>
    <row r="138" spans="1:18" ht="12.75">
      <c r="A138" s="1">
        <f t="shared" si="15"/>
        <v>44044</v>
      </c>
      <c r="B138" s="2">
        <f t="shared" si="16"/>
        <v>9</v>
      </c>
      <c r="C138" s="2">
        <f t="shared" si="17"/>
        <v>99</v>
      </c>
      <c r="D138" s="3">
        <f t="shared" si="26"/>
        <v>816.4823619977051</v>
      </c>
      <c r="E138" s="3">
        <f t="shared" si="24"/>
        <v>368.24015628663244</v>
      </c>
      <c r="F138" s="3">
        <f t="shared" si="18"/>
        <v>448.24220571107264</v>
      </c>
      <c r="G138" s="3">
        <f t="shared" si="19"/>
        <v>160238.3714466376</v>
      </c>
      <c r="H138" s="32"/>
      <c r="I138" s="32">
        <f>$G$39-SUM($H$39:$H138)</f>
        <v>200000</v>
      </c>
      <c r="J138" s="68"/>
      <c r="K138" s="2">
        <f t="shared" si="20"/>
        <v>9</v>
      </c>
      <c r="L138" s="2">
        <f t="shared" si="21"/>
        <v>99</v>
      </c>
      <c r="M138" s="3">
        <f>IF(L138&lt;&gt;" ",IF(P137&lt;M137,P137+N138,PMT($O$27,($N$30),-$R137))," ")</f>
        <v>773.3970181413515</v>
      </c>
      <c r="N138" s="3">
        <f t="shared" si="25"/>
        <v>312.8467433420252</v>
      </c>
      <c r="O138" s="3">
        <f t="shared" si="22"/>
        <v>460.5502747993263</v>
      </c>
      <c r="P138" s="3">
        <f t="shared" si="23"/>
        <v>160179.6260240583</v>
      </c>
      <c r="Q138" s="32"/>
      <c r="R138" s="32">
        <f>$G$39-SUM($Q$39:$Q138)</f>
        <v>200000</v>
      </c>
    </row>
    <row r="139" spans="1:18" ht="12.75">
      <c r="A139" s="1">
        <f t="shared" si="15"/>
        <v>44075</v>
      </c>
      <c r="B139" s="2">
        <f t="shared" si="16"/>
        <v>9</v>
      </c>
      <c r="C139" s="2">
        <f t="shared" si="17"/>
        <v>100</v>
      </c>
      <c r="D139" s="3">
        <f t="shared" si="26"/>
        <v>816.4823619977051</v>
      </c>
      <c r="E139" s="3">
        <f t="shared" si="24"/>
        <v>367.2129345652112</v>
      </c>
      <c r="F139" s="3">
        <f t="shared" si="18"/>
        <v>449.2694274324939</v>
      </c>
      <c r="G139" s="3">
        <f t="shared" si="19"/>
        <v>159789.1020192051</v>
      </c>
      <c r="H139" s="32"/>
      <c r="I139" s="32">
        <f>$G$39-SUM($H$39:$H139)</f>
        <v>200000</v>
      </c>
      <c r="J139" s="68"/>
      <c r="K139" s="2">
        <f t="shared" si="20"/>
        <v>9</v>
      </c>
      <c r="L139" s="2">
        <f t="shared" si="21"/>
        <v>100</v>
      </c>
      <c r="M139" s="3">
        <f>IF(L139&lt;&gt;" ",IF(P138&lt;M138,P138+N139,PMT($O$27,($N$30),-$R138))," ")</f>
        <v>773.3970181413515</v>
      </c>
      <c r="N139" s="3">
        <f t="shared" si="25"/>
        <v>311.94982168185356</v>
      </c>
      <c r="O139" s="3">
        <f t="shared" si="22"/>
        <v>461.44719645949795</v>
      </c>
      <c r="P139" s="3">
        <f t="shared" si="23"/>
        <v>159718.1788275988</v>
      </c>
      <c r="Q139" s="32"/>
      <c r="R139" s="32">
        <f>$G$39-SUM($Q$39:$Q139)</f>
        <v>200000</v>
      </c>
    </row>
    <row r="140" spans="1:18" ht="12.75">
      <c r="A140" s="1">
        <f t="shared" si="15"/>
        <v>44105</v>
      </c>
      <c r="B140" s="2">
        <f t="shared" si="16"/>
        <v>9</v>
      </c>
      <c r="C140" s="2">
        <f t="shared" si="17"/>
        <v>101</v>
      </c>
      <c r="D140" s="3">
        <f t="shared" si="26"/>
        <v>816.4823619977051</v>
      </c>
      <c r="E140" s="3">
        <f t="shared" si="24"/>
        <v>366.1833587940117</v>
      </c>
      <c r="F140" s="3">
        <f t="shared" si="18"/>
        <v>450.29900320369336</v>
      </c>
      <c r="G140" s="3">
        <f t="shared" si="19"/>
        <v>159338.80301600142</v>
      </c>
      <c r="H140" s="32"/>
      <c r="I140" s="32">
        <f>$G$39-SUM($H$39:$H140)</f>
        <v>200000</v>
      </c>
      <c r="J140" s="68"/>
      <c r="K140" s="2">
        <f t="shared" si="20"/>
        <v>9</v>
      </c>
      <c r="L140" s="2">
        <f t="shared" si="21"/>
        <v>101</v>
      </c>
      <c r="M140" s="3">
        <f>IF(L140&lt;&gt;" ",IF(P139&lt;M139,P139+N140,PMT($O$27,($N$30),-$R139))," ")</f>
        <v>773.3970181413515</v>
      </c>
      <c r="N140" s="3">
        <f t="shared" si="25"/>
        <v>311.0511532667487</v>
      </c>
      <c r="O140" s="3">
        <f t="shared" si="22"/>
        <v>462.3458648746028</v>
      </c>
      <c r="P140" s="3">
        <f t="shared" si="23"/>
        <v>159255.8329627242</v>
      </c>
      <c r="Q140" s="32"/>
      <c r="R140" s="32">
        <f>$G$39-SUM($Q$39:$Q140)</f>
        <v>200000</v>
      </c>
    </row>
    <row r="141" spans="1:18" ht="12.75">
      <c r="A141" s="1">
        <f t="shared" si="15"/>
        <v>44136</v>
      </c>
      <c r="B141" s="2">
        <f t="shared" si="16"/>
        <v>9</v>
      </c>
      <c r="C141" s="2">
        <f t="shared" si="17"/>
        <v>102</v>
      </c>
      <c r="D141" s="3">
        <f t="shared" si="26"/>
        <v>816.4823619977051</v>
      </c>
      <c r="E141" s="3">
        <f t="shared" si="24"/>
        <v>365.15142357833656</v>
      </c>
      <c r="F141" s="3">
        <f t="shared" si="18"/>
        <v>451.3309384193685</v>
      </c>
      <c r="G141" s="3">
        <f t="shared" si="19"/>
        <v>158887.47207758206</v>
      </c>
      <c r="H141" s="32"/>
      <c r="I141" s="32">
        <f>$G$39-SUM($H$39:$H141)</f>
        <v>200000</v>
      </c>
      <c r="J141" s="68"/>
      <c r="K141" s="2">
        <f t="shared" si="20"/>
        <v>9</v>
      </c>
      <c r="L141" s="2">
        <f t="shared" si="21"/>
        <v>102</v>
      </c>
      <c r="M141" s="3">
        <f>IF(L141&lt;&gt;" ",IF(P140&lt;M140,P140+N141,PMT($O$27,($N$30),-$R140))," ")</f>
        <v>773.3970181413515</v>
      </c>
      <c r="N141" s="3">
        <f t="shared" si="25"/>
        <v>310.15073469490545</v>
      </c>
      <c r="O141" s="3">
        <f t="shared" si="22"/>
        <v>463.24628344644606</v>
      </c>
      <c r="P141" s="3">
        <f t="shared" si="23"/>
        <v>158792.58667927777</v>
      </c>
      <c r="Q141" s="32"/>
      <c r="R141" s="32">
        <f>$G$39-SUM($Q$39:$Q141)</f>
        <v>200000</v>
      </c>
    </row>
    <row r="142" spans="1:18" ht="12.75">
      <c r="A142" s="1">
        <f t="shared" si="15"/>
        <v>44166</v>
      </c>
      <c r="B142" s="2">
        <f t="shared" si="16"/>
        <v>9</v>
      </c>
      <c r="C142" s="2">
        <f t="shared" si="17"/>
        <v>103</v>
      </c>
      <c r="D142" s="3">
        <f t="shared" si="26"/>
        <v>816.4823619977051</v>
      </c>
      <c r="E142" s="3">
        <f t="shared" si="24"/>
        <v>364.11712351112556</v>
      </c>
      <c r="F142" s="3">
        <f t="shared" si="18"/>
        <v>452.3652384865795</v>
      </c>
      <c r="G142" s="3">
        <f t="shared" si="19"/>
        <v>158435.10683909548</v>
      </c>
      <c r="H142" s="32"/>
      <c r="I142" s="32">
        <f>$G$39-SUM($H$39:$H142)</f>
        <v>200000</v>
      </c>
      <c r="J142" s="68"/>
      <c r="K142" s="2">
        <f t="shared" si="20"/>
        <v>9</v>
      </c>
      <c r="L142" s="2">
        <f t="shared" si="21"/>
        <v>103</v>
      </c>
      <c r="M142" s="3">
        <f>IF(L142&lt;&gt;" ",IF(P141&lt;M141,P141+N142,PMT($O$27,($N$30),-$R141))," ")</f>
        <v>773.3970181413515</v>
      </c>
      <c r="N142" s="3">
        <f t="shared" si="25"/>
        <v>309.2485625578935</v>
      </c>
      <c r="O142" s="3">
        <f t="shared" si="22"/>
        <v>464.14845558345803</v>
      </c>
      <c r="P142" s="3">
        <f t="shared" si="23"/>
        <v>158328.4382236943</v>
      </c>
      <c r="Q142" s="32"/>
      <c r="R142" s="32">
        <f>$G$39-SUM($Q$39:$Q142)</f>
        <v>200000</v>
      </c>
    </row>
    <row r="143" spans="1:18" ht="12.75">
      <c r="A143" s="1">
        <f t="shared" si="15"/>
        <v>44197</v>
      </c>
      <c r="B143" s="2">
        <f t="shared" si="16"/>
        <v>9</v>
      </c>
      <c r="C143" s="2">
        <f t="shared" si="17"/>
        <v>104</v>
      </c>
      <c r="D143" s="3">
        <f t="shared" si="26"/>
        <v>816.4823619977051</v>
      </c>
      <c r="E143" s="3">
        <f t="shared" si="24"/>
        <v>363.08045317292715</v>
      </c>
      <c r="F143" s="3">
        <f t="shared" si="18"/>
        <v>453.40190882477793</v>
      </c>
      <c r="G143" s="3">
        <f t="shared" si="19"/>
        <v>157981.7049302707</v>
      </c>
      <c r="H143" s="32"/>
      <c r="I143" s="32">
        <f>$G$39-SUM($H$39:$H143)</f>
        <v>200000</v>
      </c>
      <c r="J143" s="68"/>
      <c r="K143" s="2">
        <f t="shared" si="20"/>
        <v>9</v>
      </c>
      <c r="L143" s="2">
        <f t="shared" si="21"/>
        <v>104</v>
      </c>
      <c r="M143" s="3">
        <f>IF(L143&lt;&gt;" ",IF(P142&lt;M142,P142+N143,PMT($O$27,($N$30),-$R142))," ")</f>
        <v>773.3970181413515</v>
      </c>
      <c r="N143" s="3">
        <f t="shared" si="25"/>
        <v>308.3446334406447</v>
      </c>
      <c r="O143" s="3">
        <f t="shared" si="22"/>
        <v>465.0523847007068</v>
      </c>
      <c r="P143" s="3">
        <f t="shared" si="23"/>
        <v>157863.3858389936</v>
      </c>
      <c r="Q143" s="32"/>
      <c r="R143" s="32">
        <f>$G$39-SUM($Q$39:$Q143)</f>
        <v>200000</v>
      </c>
    </row>
    <row r="144" spans="1:18" ht="12.75">
      <c r="A144" s="1">
        <f t="shared" si="15"/>
        <v>44228</v>
      </c>
      <c r="B144" s="2">
        <f t="shared" si="16"/>
        <v>9</v>
      </c>
      <c r="C144" s="2">
        <f t="shared" si="17"/>
        <v>105</v>
      </c>
      <c r="D144" s="3">
        <f t="shared" si="26"/>
        <v>816.4823619977051</v>
      </c>
      <c r="E144" s="3">
        <f t="shared" si="24"/>
        <v>362.04140713187036</v>
      </c>
      <c r="F144" s="3">
        <f t="shared" si="18"/>
        <v>454.4409548658347</v>
      </c>
      <c r="G144" s="3">
        <f t="shared" si="19"/>
        <v>157527.26397540487</v>
      </c>
      <c r="H144" s="32"/>
      <c r="I144" s="32">
        <f>$G$39-SUM($H$39:$H144)</f>
        <v>200000</v>
      </c>
      <c r="J144" s="68"/>
      <c r="K144" s="2">
        <f t="shared" si="20"/>
        <v>9</v>
      </c>
      <c r="L144" s="2">
        <f t="shared" si="21"/>
        <v>105</v>
      </c>
      <c r="M144" s="3">
        <f>IF(L144&lt;&gt;" ",IF(P143&lt;M143,P143+N144,PMT($O$27,($N$30),-$R143))," ")</f>
        <v>773.3970181413515</v>
      </c>
      <c r="N144" s="3">
        <f t="shared" si="25"/>
        <v>307.43894392144006</v>
      </c>
      <c r="O144" s="3">
        <f t="shared" si="22"/>
        <v>465.95807421991145</v>
      </c>
      <c r="P144" s="3">
        <f t="shared" si="23"/>
        <v>157397.4277647737</v>
      </c>
      <c r="Q144" s="32"/>
      <c r="R144" s="32">
        <f>$G$39-SUM($Q$39:$Q144)</f>
        <v>200000</v>
      </c>
    </row>
    <row r="145" spans="1:18" ht="12.75">
      <c r="A145" s="1">
        <f t="shared" si="15"/>
        <v>44256</v>
      </c>
      <c r="B145" s="2">
        <f t="shared" si="16"/>
        <v>9</v>
      </c>
      <c r="C145" s="2">
        <f t="shared" si="17"/>
        <v>106</v>
      </c>
      <c r="D145" s="3">
        <f t="shared" si="26"/>
        <v>816.4823619977051</v>
      </c>
      <c r="E145" s="3">
        <f t="shared" si="24"/>
        <v>360.99997994363616</v>
      </c>
      <c r="F145" s="3">
        <f t="shared" si="18"/>
        <v>455.4823820540689</v>
      </c>
      <c r="G145" s="3">
        <f t="shared" si="19"/>
        <v>157071.7815933508</v>
      </c>
      <c r="H145" s="32"/>
      <c r="I145" s="32">
        <f>$G$39-SUM($H$39:$H145)</f>
        <v>200000</v>
      </c>
      <c r="J145" s="68"/>
      <c r="K145" s="2">
        <f t="shared" si="20"/>
        <v>9</v>
      </c>
      <c r="L145" s="2">
        <f t="shared" si="21"/>
        <v>106</v>
      </c>
      <c r="M145" s="3">
        <f>IF(L145&lt;&gt;" ",IF(P144&lt;M144,P144+N145,PMT($O$27,($N$30),-$R144))," ")</f>
        <v>773.3970181413515</v>
      </c>
      <c r="N145" s="3">
        <f t="shared" si="25"/>
        <v>306.53149057189677</v>
      </c>
      <c r="O145" s="3">
        <f t="shared" si="22"/>
        <v>466.86552756945474</v>
      </c>
      <c r="P145" s="3">
        <f t="shared" si="23"/>
        <v>156930.56223720423</v>
      </c>
      <c r="Q145" s="32"/>
      <c r="R145" s="32">
        <f>$G$39-SUM($Q$39:$Q145)</f>
        <v>200000</v>
      </c>
    </row>
    <row r="146" spans="1:18" ht="12.75">
      <c r="A146" s="1">
        <f t="shared" si="15"/>
        <v>44287</v>
      </c>
      <c r="B146" s="2">
        <f t="shared" si="16"/>
        <v>9</v>
      </c>
      <c r="C146" s="2">
        <f t="shared" si="17"/>
        <v>107</v>
      </c>
      <c r="D146" s="3">
        <f t="shared" si="26"/>
        <v>816.4823619977051</v>
      </c>
      <c r="E146" s="3">
        <f t="shared" si="24"/>
        <v>359.95616615142893</v>
      </c>
      <c r="F146" s="3">
        <f t="shared" si="18"/>
        <v>456.52619584627615</v>
      </c>
      <c r="G146" s="3">
        <f t="shared" si="19"/>
        <v>156615.25539750454</v>
      </c>
      <c r="H146" s="32"/>
      <c r="I146" s="32">
        <f>$G$39-SUM($H$39:$H146)</f>
        <v>200000</v>
      </c>
      <c r="J146" s="68"/>
      <c r="K146" s="2">
        <f t="shared" si="20"/>
        <v>9</v>
      </c>
      <c r="L146" s="2">
        <f t="shared" si="21"/>
        <v>107</v>
      </c>
      <c r="M146" s="3">
        <f>IF(L146&lt;&gt;" ",IF(P145&lt;M145,P145+N146,PMT($O$27,($N$30),-$R145))," ")</f>
        <v>773.3970181413515</v>
      </c>
      <c r="N146" s="3">
        <f t="shared" si="25"/>
        <v>305.6222699569553</v>
      </c>
      <c r="O146" s="3">
        <f t="shared" si="22"/>
        <v>467.77474818439623</v>
      </c>
      <c r="P146" s="3">
        <f t="shared" si="23"/>
        <v>156462.78748901983</v>
      </c>
      <c r="Q146" s="32"/>
      <c r="R146" s="32">
        <f>$G$39-SUM($Q$39:$Q146)</f>
        <v>200000</v>
      </c>
    </row>
    <row r="147" spans="1:18" ht="12.75">
      <c r="A147" s="1">
        <f t="shared" si="15"/>
        <v>44317</v>
      </c>
      <c r="B147" s="2">
        <f t="shared" si="16"/>
        <v>9</v>
      </c>
      <c r="C147" s="2">
        <f t="shared" si="17"/>
        <v>108</v>
      </c>
      <c r="D147" s="3">
        <f t="shared" si="26"/>
        <v>816.4823619977051</v>
      </c>
      <c r="E147" s="3">
        <f t="shared" si="24"/>
        <v>358.90996028594793</v>
      </c>
      <c r="F147" s="3">
        <f t="shared" si="18"/>
        <v>457.57240171175715</v>
      </c>
      <c r="G147" s="3">
        <f t="shared" si="19"/>
        <v>156157.6829957928</v>
      </c>
      <c r="H147" s="32"/>
      <c r="I147" s="32">
        <f>$G$39-SUM($H$39:$H147)</f>
        <v>200000</v>
      </c>
      <c r="J147" s="68"/>
      <c r="K147" s="2">
        <f t="shared" si="20"/>
        <v>9</v>
      </c>
      <c r="L147" s="2">
        <f t="shared" si="21"/>
        <v>108</v>
      </c>
      <c r="M147" s="3">
        <f>IF(L147&lt;&gt;" ",IF(P146&lt;M146,P146+N147,PMT($O$27,($N$30),-$R146))," ")</f>
        <v>773.3970181413515</v>
      </c>
      <c r="N147" s="3">
        <f t="shared" si="25"/>
        <v>304.7112786348662</v>
      </c>
      <c r="O147" s="3">
        <f t="shared" si="22"/>
        <v>468.68573950648533</v>
      </c>
      <c r="P147" s="3">
        <f t="shared" si="23"/>
        <v>155994.10174951336</v>
      </c>
      <c r="Q147" s="32"/>
      <c r="R147" s="32">
        <f>$G$39-SUM($Q$39:$Q147)</f>
        <v>200000</v>
      </c>
    </row>
    <row r="148" spans="1:18" ht="12.75">
      <c r="A148" s="1">
        <f t="shared" si="15"/>
        <v>44348</v>
      </c>
      <c r="B148" s="2">
        <f t="shared" si="16"/>
        <v>10</v>
      </c>
      <c r="C148" s="2">
        <f t="shared" si="17"/>
        <v>109</v>
      </c>
      <c r="D148" s="3">
        <f t="shared" si="26"/>
        <v>816.4823619977051</v>
      </c>
      <c r="E148" s="3">
        <f t="shared" si="24"/>
        <v>357.8613568653585</v>
      </c>
      <c r="F148" s="3">
        <f t="shared" si="18"/>
        <v>458.62100513234657</v>
      </c>
      <c r="G148" s="3">
        <f t="shared" si="19"/>
        <v>155699.06199066044</v>
      </c>
      <c r="H148" s="32"/>
      <c r="I148" s="32">
        <f>$G$39-SUM($H$39:$H148)</f>
        <v>200000</v>
      </c>
      <c r="J148" s="68"/>
      <c r="K148" s="2">
        <f t="shared" si="20"/>
        <v>10</v>
      </c>
      <c r="L148" s="2">
        <f t="shared" si="21"/>
        <v>109</v>
      </c>
      <c r="M148" s="3">
        <f>IF(L148&lt;&gt;" ",IF(P147&lt;M147,P147+N148,PMT($O$27,($N$30),-$R147))," ")</f>
        <v>773.3970181413515</v>
      </c>
      <c r="N148" s="3">
        <f t="shared" si="25"/>
        <v>303.7985131571773</v>
      </c>
      <c r="O148" s="3">
        <f t="shared" si="22"/>
        <v>469.5985049841742</v>
      </c>
      <c r="P148" s="3">
        <f t="shared" si="23"/>
        <v>155524.5032445292</v>
      </c>
      <c r="Q148" s="32"/>
      <c r="R148" s="32">
        <f>$G$39-SUM($Q$39:$Q148)</f>
        <v>200000</v>
      </c>
    </row>
    <row r="149" spans="1:18" ht="12.75">
      <c r="A149" s="1">
        <f t="shared" si="15"/>
        <v>44378</v>
      </c>
      <c r="B149" s="2">
        <f t="shared" si="16"/>
        <v>10</v>
      </c>
      <c r="C149" s="2">
        <f t="shared" si="17"/>
        <v>110</v>
      </c>
      <c r="D149" s="3">
        <f t="shared" si="26"/>
        <v>816.4823619977051</v>
      </c>
      <c r="E149" s="3">
        <f t="shared" si="24"/>
        <v>356.8103503952635</v>
      </c>
      <c r="F149" s="3">
        <f t="shared" si="18"/>
        <v>459.67201160244156</v>
      </c>
      <c r="G149" s="3">
        <f t="shared" si="19"/>
        <v>155239.389979058</v>
      </c>
      <c r="H149" s="32"/>
      <c r="I149" s="32">
        <f>$G$39-SUM($H$39:$H149)</f>
        <v>200000</v>
      </c>
      <c r="J149" s="68"/>
      <c r="K149" s="2">
        <f t="shared" si="20"/>
        <v>10</v>
      </c>
      <c r="L149" s="2">
        <f t="shared" si="21"/>
        <v>110</v>
      </c>
      <c r="M149" s="3">
        <f>IF(L149&lt;&gt;" ",IF(P148&lt;M148,P148+N149,PMT($O$27,($N$30),-$R148))," ")</f>
        <v>773.3970181413515</v>
      </c>
      <c r="N149" s="3">
        <f t="shared" si="25"/>
        <v>302.8839700687206</v>
      </c>
      <c r="O149" s="3">
        <f t="shared" si="22"/>
        <v>470.5130480726309</v>
      </c>
      <c r="P149" s="3">
        <f t="shared" si="23"/>
        <v>155053.99019645655</v>
      </c>
      <c r="Q149" s="32"/>
      <c r="R149" s="32">
        <f>$G$39-SUM($Q$39:$Q149)</f>
        <v>200000</v>
      </c>
    </row>
    <row r="150" spans="1:18" ht="12.75">
      <c r="A150" s="1">
        <f t="shared" si="15"/>
        <v>44409</v>
      </c>
      <c r="B150" s="2">
        <f t="shared" si="16"/>
        <v>10</v>
      </c>
      <c r="C150" s="2">
        <f t="shared" si="17"/>
        <v>111</v>
      </c>
      <c r="D150" s="3">
        <f t="shared" si="26"/>
        <v>816.4823619977051</v>
      </c>
      <c r="E150" s="3">
        <f t="shared" si="24"/>
        <v>355.7569353686746</v>
      </c>
      <c r="F150" s="3">
        <f t="shared" si="18"/>
        <v>460.7254266290305</v>
      </c>
      <c r="G150" s="3">
        <f t="shared" si="19"/>
        <v>154778.66455242896</v>
      </c>
      <c r="H150" s="32"/>
      <c r="I150" s="32">
        <f>$G$39-SUM($H$39:$H150)</f>
        <v>200000</v>
      </c>
      <c r="J150" s="68"/>
      <c r="K150" s="2">
        <f t="shared" si="20"/>
        <v>10</v>
      </c>
      <c r="L150" s="2">
        <f t="shared" si="21"/>
        <v>111</v>
      </c>
      <c r="M150" s="3">
        <f>IF(L150&lt;&gt;" ",IF(P149&lt;M149,P149+N150,PMT($O$27,($N$30),-$R149))," ")</f>
        <v>773.3970181413515</v>
      </c>
      <c r="N150" s="3">
        <f t="shared" si="25"/>
        <v>301.96764590759915</v>
      </c>
      <c r="O150" s="3">
        <f t="shared" si="22"/>
        <v>471.42937223375236</v>
      </c>
      <c r="P150" s="3">
        <f t="shared" si="23"/>
        <v>154582.5608242228</v>
      </c>
      <c r="Q150" s="32"/>
      <c r="R150" s="32">
        <f>$G$39-SUM($Q$39:$Q150)</f>
        <v>200000</v>
      </c>
    </row>
    <row r="151" spans="1:18" ht="12.75">
      <c r="A151" s="1">
        <f t="shared" si="15"/>
        <v>44440</v>
      </c>
      <c r="B151" s="2">
        <f t="shared" si="16"/>
        <v>10</v>
      </c>
      <c r="C151" s="2">
        <f t="shared" si="17"/>
        <v>112</v>
      </c>
      <c r="D151" s="3">
        <f t="shared" si="26"/>
        <v>816.4823619977051</v>
      </c>
      <c r="E151" s="3">
        <f t="shared" si="24"/>
        <v>354.701106265983</v>
      </c>
      <c r="F151" s="3">
        <f t="shared" si="18"/>
        <v>461.78125573172207</v>
      </c>
      <c r="G151" s="3">
        <f t="shared" si="19"/>
        <v>154316.88329669725</v>
      </c>
      <c r="H151" s="32"/>
      <c r="I151" s="32">
        <f>$G$39-SUM($H$39:$H151)</f>
        <v>200000</v>
      </c>
      <c r="J151" s="68"/>
      <c r="K151" s="2">
        <f t="shared" si="20"/>
        <v>10</v>
      </c>
      <c r="L151" s="2">
        <f t="shared" si="21"/>
        <v>112</v>
      </c>
      <c r="M151" s="3">
        <f>IF(L151&lt;&gt;" ",IF(P150&lt;M150,P150+N151,PMT($O$27,($N$30),-$R150))," ")</f>
        <v>773.3970181413515</v>
      </c>
      <c r="N151" s="3">
        <f t="shared" si="25"/>
        <v>301.0495372051739</v>
      </c>
      <c r="O151" s="3">
        <f t="shared" si="22"/>
        <v>472.3474809361776</v>
      </c>
      <c r="P151" s="3">
        <f t="shared" si="23"/>
        <v>154110.21334328662</v>
      </c>
      <c r="Q151" s="32"/>
      <c r="R151" s="32">
        <f>$G$39-SUM($Q$39:$Q151)</f>
        <v>200000</v>
      </c>
    </row>
    <row r="152" spans="1:18" ht="12.75">
      <c r="A152" s="1">
        <f t="shared" si="15"/>
        <v>44470</v>
      </c>
      <c r="B152" s="2">
        <f t="shared" si="16"/>
        <v>10</v>
      </c>
      <c r="C152" s="2">
        <f t="shared" si="17"/>
        <v>113</v>
      </c>
      <c r="D152" s="3">
        <f t="shared" si="26"/>
        <v>816.4823619977051</v>
      </c>
      <c r="E152" s="3">
        <f t="shared" si="24"/>
        <v>353.6428575549312</v>
      </c>
      <c r="F152" s="3">
        <f t="shared" si="18"/>
        <v>462.8395044427739</v>
      </c>
      <c r="G152" s="3">
        <f t="shared" si="19"/>
        <v>153854.0437922545</v>
      </c>
      <c r="H152" s="32"/>
      <c r="I152" s="32">
        <f>$G$39-SUM($H$39:$H152)</f>
        <v>200000</v>
      </c>
      <c r="J152" s="68"/>
      <c r="K152" s="2">
        <f t="shared" si="20"/>
        <v>10</v>
      </c>
      <c r="L152" s="2">
        <f t="shared" si="21"/>
        <v>113</v>
      </c>
      <c r="M152" s="3">
        <f>IF(L152&lt;&gt;" ",IF(P151&lt;M151,P151+N152,PMT($O$27,($N$30),-$R151))," ")</f>
        <v>773.3970181413515</v>
      </c>
      <c r="N152" s="3">
        <f t="shared" si="25"/>
        <v>300.12964048605073</v>
      </c>
      <c r="O152" s="3">
        <f t="shared" si="22"/>
        <v>473.2673776553008</v>
      </c>
      <c r="P152" s="3">
        <f t="shared" si="23"/>
        <v>153636.9459656313</v>
      </c>
      <c r="Q152" s="32"/>
      <c r="R152" s="32">
        <f>$G$39-SUM($Q$39:$Q152)</f>
        <v>200000</v>
      </c>
    </row>
    <row r="153" spans="1:18" ht="12.75">
      <c r="A153" s="1">
        <f t="shared" si="15"/>
        <v>44501</v>
      </c>
      <c r="B153" s="2">
        <f t="shared" si="16"/>
        <v>10</v>
      </c>
      <c r="C153" s="2">
        <f t="shared" si="17"/>
        <v>114</v>
      </c>
      <c r="D153" s="3">
        <f t="shared" si="26"/>
        <v>816.4823619977051</v>
      </c>
      <c r="E153" s="3">
        <f t="shared" si="24"/>
        <v>352.58218369058324</v>
      </c>
      <c r="F153" s="3">
        <f t="shared" si="18"/>
        <v>463.90017830712185</v>
      </c>
      <c r="G153" s="3">
        <f t="shared" si="19"/>
        <v>153390.14361394738</v>
      </c>
      <c r="H153" s="32"/>
      <c r="I153" s="32">
        <f>$G$39-SUM($H$39:$H153)</f>
        <v>200000</v>
      </c>
      <c r="J153" s="68"/>
      <c r="K153" s="2">
        <f t="shared" si="20"/>
        <v>10</v>
      </c>
      <c r="L153" s="2">
        <f t="shared" si="21"/>
        <v>114</v>
      </c>
      <c r="M153" s="3">
        <f>IF(L153&lt;&gt;" ",IF(P152&lt;M152,P152+N153,PMT($O$27,($N$30),-$R152))," ")</f>
        <v>773.3970181413515</v>
      </c>
      <c r="N153" s="3">
        <f t="shared" si="25"/>
        <v>299.207952268067</v>
      </c>
      <c r="O153" s="3">
        <f t="shared" si="22"/>
        <v>474.1890658732845</v>
      </c>
      <c r="P153" s="3">
        <f t="shared" si="23"/>
        <v>153162.75689975804</v>
      </c>
      <c r="Q153" s="32"/>
      <c r="R153" s="32">
        <f>$G$39-SUM($Q$39:$Q153)</f>
        <v>200000</v>
      </c>
    </row>
    <row r="154" spans="1:18" ht="12.75">
      <c r="A154" s="1">
        <f t="shared" si="15"/>
        <v>44531</v>
      </c>
      <c r="B154" s="2">
        <f t="shared" si="16"/>
        <v>10</v>
      </c>
      <c r="C154" s="2">
        <f t="shared" si="17"/>
        <v>115</v>
      </c>
      <c r="D154" s="3">
        <f t="shared" si="26"/>
        <v>816.4823619977051</v>
      </c>
      <c r="E154" s="3">
        <f t="shared" si="24"/>
        <v>351.5190791152961</v>
      </c>
      <c r="F154" s="3">
        <f t="shared" si="18"/>
        <v>464.963282882409</v>
      </c>
      <c r="G154" s="3">
        <f t="shared" si="19"/>
        <v>152925.18033106497</v>
      </c>
      <c r="H154" s="32"/>
      <c r="I154" s="32">
        <f>$G$39-SUM($H$39:$H154)</f>
        <v>200000</v>
      </c>
      <c r="J154" s="68"/>
      <c r="K154" s="2">
        <f t="shared" si="20"/>
        <v>10</v>
      </c>
      <c r="L154" s="2">
        <f t="shared" si="21"/>
        <v>115</v>
      </c>
      <c r="M154" s="3">
        <f>IF(L154&lt;&gt;" ",IF(P153&lt;M153,P153+N154,PMT($O$27,($N$30),-$R153))," ")</f>
        <v>773.3970181413515</v>
      </c>
      <c r="N154" s="3">
        <f t="shared" si="25"/>
        <v>298.2844690622788</v>
      </c>
      <c r="O154" s="3">
        <f t="shared" si="22"/>
        <v>475.1125490790727</v>
      </c>
      <c r="P154" s="3">
        <f t="shared" si="23"/>
        <v>152687.64435067898</v>
      </c>
      <c r="Q154" s="32"/>
      <c r="R154" s="32">
        <f>$G$39-SUM($Q$39:$Q154)</f>
        <v>200000</v>
      </c>
    </row>
    <row r="155" spans="1:18" ht="12.75">
      <c r="A155" s="1">
        <f t="shared" si="15"/>
        <v>44562</v>
      </c>
      <c r="B155" s="2">
        <f t="shared" si="16"/>
        <v>10</v>
      </c>
      <c r="C155" s="2">
        <f t="shared" si="17"/>
        <v>116</v>
      </c>
      <c r="D155" s="3">
        <f t="shared" si="26"/>
        <v>816.4823619977051</v>
      </c>
      <c r="E155" s="3">
        <f t="shared" si="24"/>
        <v>350.45353825869057</v>
      </c>
      <c r="F155" s="3">
        <f t="shared" si="18"/>
        <v>466.0288237390145</v>
      </c>
      <c r="G155" s="3">
        <f t="shared" si="19"/>
        <v>152459.15150732597</v>
      </c>
      <c r="H155" s="32"/>
      <c r="I155" s="32">
        <f>$G$39-SUM($H$39:$H155)</f>
        <v>200000</v>
      </c>
      <c r="J155" s="68"/>
      <c r="K155" s="2">
        <f t="shared" si="20"/>
        <v>10</v>
      </c>
      <c r="L155" s="2">
        <f t="shared" si="21"/>
        <v>116</v>
      </c>
      <c r="M155" s="3">
        <f>IF(L155&lt;&gt;" ",IF(P154&lt;M154,P154+N155,PMT($O$27,($N$30),-$R154))," ")</f>
        <v>773.3970181413515</v>
      </c>
      <c r="N155" s="3">
        <f t="shared" si="25"/>
        <v>297.35918737294736</v>
      </c>
      <c r="O155" s="3">
        <f t="shared" si="22"/>
        <v>476.03783076840415</v>
      </c>
      <c r="P155" s="3">
        <f t="shared" si="23"/>
        <v>152211.60651991057</v>
      </c>
      <c r="Q155" s="32"/>
      <c r="R155" s="32">
        <f>$G$39-SUM($Q$39:$Q155)</f>
        <v>200000</v>
      </c>
    </row>
    <row r="156" spans="1:18" ht="12.75">
      <c r="A156" s="1">
        <f t="shared" si="15"/>
        <v>44593</v>
      </c>
      <c r="B156" s="2">
        <f t="shared" si="16"/>
        <v>10</v>
      </c>
      <c r="C156" s="2">
        <f t="shared" si="17"/>
        <v>117</v>
      </c>
      <c r="D156" s="3">
        <f t="shared" si="26"/>
        <v>816.4823619977051</v>
      </c>
      <c r="E156" s="3">
        <f t="shared" si="24"/>
        <v>349.385555537622</v>
      </c>
      <c r="F156" s="3">
        <f t="shared" si="18"/>
        <v>467.0968064600831</v>
      </c>
      <c r="G156" s="3">
        <f t="shared" si="19"/>
        <v>151992.05470086588</v>
      </c>
      <c r="H156" s="32"/>
      <c r="I156" s="32">
        <f>$G$39-SUM($H$39:$H156)</f>
        <v>200000</v>
      </c>
      <c r="J156" s="68"/>
      <c r="K156" s="2">
        <f t="shared" si="20"/>
        <v>10</v>
      </c>
      <c r="L156" s="2">
        <f t="shared" si="21"/>
        <v>117</v>
      </c>
      <c r="M156" s="3">
        <f>IF(L156&lt;&gt;" ",IF(P155&lt;M155,P155+N156,PMT($O$27,($N$30),-$R155))," ")</f>
        <v>773.3970181413515</v>
      </c>
      <c r="N156" s="3">
        <f t="shared" si="25"/>
        <v>296.43210369752586</v>
      </c>
      <c r="O156" s="3">
        <f t="shared" si="22"/>
        <v>476.96491444382565</v>
      </c>
      <c r="P156" s="3">
        <f t="shared" si="23"/>
        <v>151734.64160546675</v>
      </c>
      <c r="Q156" s="32"/>
      <c r="R156" s="32">
        <f>$G$39-SUM($Q$39:$Q156)</f>
        <v>200000</v>
      </c>
    </row>
    <row r="157" spans="1:18" ht="12.75">
      <c r="A157" s="1">
        <f t="shared" si="15"/>
        <v>44621</v>
      </c>
      <c r="B157" s="2">
        <f t="shared" si="16"/>
        <v>10</v>
      </c>
      <c r="C157" s="2">
        <f t="shared" si="17"/>
        <v>118</v>
      </c>
      <c r="D157" s="3">
        <f t="shared" si="26"/>
        <v>816.4823619977051</v>
      </c>
      <c r="E157" s="3">
        <f t="shared" si="24"/>
        <v>348.315125356151</v>
      </c>
      <c r="F157" s="3">
        <f t="shared" si="18"/>
        <v>468.1672366415541</v>
      </c>
      <c r="G157" s="3">
        <f t="shared" si="19"/>
        <v>151523.88746422433</v>
      </c>
      <c r="H157" s="32"/>
      <c r="I157" s="32">
        <f>$G$39-SUM($H$39:$H157)</f>
        <v>200000</v>
      </c>
      <c r="J157" s="68"/>
      <c r="K157" s="2">
        <f t="shared" si="20"/>
        <v>10</v>
      </c>
      <c r="L157" s="2">
        <f t="shared" si="21"/>
        <v>118</v>
      </c>
      <c r="M157" s="3">
        <f>IF(L157&lt;&gt;" ",IF(P156&lt;M156,P156+N157,PMT($O$27,($N$30),-$R156))," ")</f>
        <v>773.3970181413515</v>
      </c>
      <c r="N157" s="3">
        <f t="shared" si="25"/>
        <v>295.5032145266465</v>
      </c>
      <c r="O157" s="3">
        <f t="shared" si="22"/>
        <v>477.893803614705</v>
      </c>
      <c r="P157" s="3">
        <f t="shared" si="23"/>
        <v>151256.74780185203</v>
      </c>
      <c r="Q157" s="32"/>
      <c r="R157" s="32">
        <f>$G$39-SUM($Q$39:$Q157)</f>
        <v>200000</v>
      </c>
    </row>
    <row r="158" spans="1:18" ht="12.75">
      <c r="A158" s="1">
        <f t="shared" si="15"/>
        <v>44652</v>
      </c>
      <c r="B158" s="2">
        <f t="shared" si="16"/>
        <v>10</v>
      </c>
      <c r="C158" s="2">
        <f t="shared" si="17"/>
        <v>119</v>
      </c>
      <c r="D158" s="3">
        <f t="shared" si="26"/>
        <v>816.4823619977051</v>
      </c>
      <c r="E158" s="3">
        <f t="shared" si="24"/>
        <v>347.2422421055141</v>
      </c>
      <c r="F158" s="3">
        <f t="shared" si="18"/>
        <v>469.240119892191</v>
      </c>
      <c r="G158" s="3">
        <f t="shared" si="19"/>
        <v>151054.64734433213</v>
      </c>
      <c r="H158" s="32"/>
      <c r="I158" s="32">
        <f>$G$39-SUM($H$39:$H158)</f>
        <v>200000</v>
      </c>
      <c r="J158" s="68"/>
      <c r="K158" s="2">
        <f t="shared" si="20"/>
        <v>10</v>
      </c>
      <c r="L158" s="2">
        <f t="shared" si="21"/>
        <v>119</v>
      </c>
      <c r="M158" s="3">
        <f>IF(L158&lt;&gt;" ",IF(P157&lt;M157,P157+N158,PMT($O$27,($N$30),-$R157))," ")</f>
        <v>773.3970181413515</v>
      </c>
      <c r="N158" s="3">
        <f t="shared" si="25"/>
        <v>294.5725163441069</v>
      </c>
      <c r="O158" s="3">
        <f t="shared" si="22"/>
        <v>478.82450179724464</v>
      </c>
      <c r="P158" s="3">
        <f t="shared" si="23"/>
        <v>150777.9233000548</v>
      </c>
      <c r="Q158" s="32"/>
      <c r="R158" s="32">
        <f>$G$39-SUM($Q$39:$Q158)</f>
        <v>200000</v>
      </c>
    </row>
    <row r="159" spans="1:18" ht="12.75">
      <c r="A159" s="1">
        <f t="shared" si="15"/>
        <v>44682</v>
      </c>
      <c r="B159" s="2">
        <f t="shared" si="16"/>
        <v>10</v>
      </c>
      <c r="C159" s="2">
        <f t="shared" si="17"/>
        <v>120</v>
      </c>
      <c r="D159" s="3">
        <f t="shared" si="26"/>
        <v>816.4823619977051</v>
      </c>
      <c r="E159" s="3">
        <f t="shared" si="24"/>
        <v>346.16690016409444</v>
      </c>
      <c r="F159" s="3">
        <f t="shared" si="18"/>
        <v>470.31546183361064</v>
      </c>
      <c r="G159" s="3">
        <f t="shared" si="19"/>
        <v>150584.33188249852</v>
      </c>
      <c r="H159" s="32"/>
      <c r="I159" s="32">
        <f>$G$39-SUM($H$39:$H159)</f>
        <v>200000</v>
      </c>
      <c r="J159" s="68"/>
      <c r="K159" s="2">
        <f t="shared" si="20"/>
        <v>10</v>
      </c>
      <c r="L159" s="2">
        <f t="shared" si="21"/>
        <v>120</v>
      </c>
      <c r="M159" s="3">
        <f>IF(L159&lt;&gt;" ",IF(P158&lt;M158,P158+N159,PMT($O$27,($N$30),-$R158))," ")</f>
        <v>773.3970181413515</v>
      </c>
      <c r="N159" s="3">
        <f t="shared" si="25"/>
        <v>293.64000562685675</v>
      </c>
      <c r="O159" s="3">
        <f t="shared" si="22"/>
        <v>479.75701251449476</v>
      </c>
      <c r="P159" s="3">
        <f t="shared" si="23"/>
        <v>150298.1662875403</v>
      </c>
      <c r="Q159" s="32"/>
      <c r="R159" s="32">
        <f>$G$39-SUM($Q$39:$Q159)</f>
        <v>200000</v>
      </c>
    </row>
    <row r="160" spans="1:18" ht="12.75">
      <c r="A160" s="1">
        <f t="shared" si="15"/>
        <v>44713</v>
      </c>
      <c r="B160" s="2">
        <f t="shared" si="16"/>
        <v>11</v>
      </c>
      <c r="C160" s="2">
        <f t="shared" si="17"/>
        <v>121</v>
      </c>
      <c r="D160" s="3">
        <f t="shared" si="26"/>
        <v>816.4823619977051</v>
      </c>
      <c r="E160" s="3">
        <f t="shared" si="24"/>
        <v>345.08909389739244</v>
      </c>
      <c r="F160" s="3">
        <f t="shared" si="18"/>
        <v>471.39326810031264</v>
      </c>
      <c r="G160" s="3">
        <f t="shared" si="19"/>
        <v>150112.9386143982</v>
      </c>
      <c r="H160" s="32"/>
      <c r="I160" s="32">
        <f>$G$39-SUM($H$39:$H160)</f>
        <v>200000</v>
      </c>
      <c r="J160" s="68"/>
      <c r="K160" s="2">
        <f t="shared" si="20"/>
        <v>11</v>
      </c>
      <c r="L160" s="2">
        <f t="shared" si="21"/>
        <v>121</v>
      </c>
      <c r="M160" s="3">
        <f>IF(L160&lt;&gt;" ",IF(P159&lt;M159,P159+N160,PMT($O$27,($N$30),-$R159))," ")</f>
        <v>773.3970181413515</v>
      </c>
      <c r="N160" s="3">
        <f t="shared" si="25"/>
        <v>292.7056788449848</v>
      </c>
      <c r="O160" s="3">
        <f t="shared" si="22"/>
        <v>480.6913392963667</v>
      </c>
      <c r="P160" s="3">
        <f t="shared" si="23"/>
        <v>149817.47494824394</v>
      </c>
      <c r="Q160" s="32"/>
      <c r="R160" s="32">
        <f>$G$39-SUM($Q$39:$Q160)</f>
        <v>200000</v>
      </c>
    </row>
    <row r="161" spans="1:18" ht="12.75">
      <c r="A161" s="1">
        <f t="shared" si="15"/>
        <v>44743</v>
      </c>
      <c r="B161" s="2">
        <f t="shared" si="16"/>
        <v>11</v>
      </c>
      <c r="C161" s="2">
        <f t="shared" si="17"/>
        <v>122</v>
      </c>
      <c r="D161" s="3">
        <f t="shared" si="26"/>
        <v>816.4823619977051</v>
      </c>
      <c r="E161" s="3">
        <f t="shared" si="24"/>
        <v>344.0088176579959</v>
      </c>
      <c r="F161" s="3">
        <f t="shared" si="18"/>
        <v>472.4735443397092</v>
      </c>
      <c r="G161" s="3">
        <f t="shared" si="19"/>
        <v>149640.4650700585</v>
      </c>
      <c r="H161" s="32"/>
      <c r="I161" s="32">
        <f>$G$39-SUM($H$39:$H161)</f>
        <v>200000</v>
      </c>
      <c r="J161" s="68"/>
      <c r="K161" s="2">
        <f t="shared" si="20"/>
        <v>11</v>
      </c>
      <c r="L161" s="2">
        <f t="shared" si="21"/>
        <v>122</v>
      </c>
      <c r="M161" s="3">
        <f>IF(L161&lt;&gt;" ",IF(P160&lt;M160,P160+N161,PMT($O$27,($N$30),-$R160))," ")</f>
        <v>773.3970181413515</v>
      </c>
      <c r="N161" s="3">
        <f t="shared" si="25"/>
        <v>291.7695324617051</v>
      </c>
      <c r="O161" s="3">
        <f t="shared" si="22"/>
        <v>481.6274856796464</v>
      </c>
      <c r="P161" s="3">
        <f t="shared" si="23"/>
        <v>149335.8474625643</v>
      </c>
      <c r="Q161" s="32"/>
      <c r="R161" s="32">
        <f>$G$39-SUM($Q$39:$Q161)</f>
        <v>200000</v>
      </c>
    </row>
    <row r="162" spans="1:18" ht="12.75">
      <c r="A162" s="1">
        <f t="shared" si="15"/>
        <v>44774</v>
      </c>
      <c r="B162" s="2">
        <f t="shared" si="16"/>
        <v>11</v>
      </c>
      <c r="C162" s="2">
        <f t="shared" si="17"/>
        <v>123</v>
      </c>
      <c r="D162" s="3">
        <f t="shared" si="26"/>
        <v>816.4823619977051</v>
      </c>
      <c r="E162" s="3">
        <f t="shared" si="24"/>
        <v>342.92606578555075</v>
      </c>
      <c r="F162" s="3">
        <f t="shared" si="18"/>
        <v>473.55629621215434</v>
      </c>
      <c r="G162" s="3">
        <f t="shared" si="19"/>
        <v>149166.90877384634</v>
      </c>
      <c r="H162" s="32"/>
      <c r="I162" s="32">
        <f>$G$39-SUM($H$39:$H162)</f>
        <v>200000</v>
      </c>
      <c r="J162" s="68"/>
      <c r="K162" s="2">
        <f t="shared" si="20"/>
        <v>11</v>
      </c>
      <c r="L162" s="2">
        <f t="shared" si="21"/>
        <v>123</v>
      </c>
      <c r="M162" s="3">
        <f>IF(L162&lt;&gt;" ",IF(P161&lt;M161,P161+N162,PMT($O$27,($N$30),-$R161))," ")</f>
        <v>773.3970181413515</v>
      </c>
      <c r="N162" s="3">
        <f t="shared" si="25"/>
        <v>290.831562933344</v>
      </c>
      <c r="O162" s="3">
        <f t="shared" si="22"/>
        <v>482.5654552080075</v>
      </c>
      <c r="P162" s="3">
        <f t="shared" si="23"/>
        <v>148853.2820073563</v>
      </c>
      <c r="Q162" s="32"/>
      <c r="R162" s="32">
        <f>$G$39-SUM($Q$39:$Q162)</f>
        <v>200000</v>
      </c>
    </row>
    <row r="163" spans="1:18" ht="12.75">
      <c r="A163" s="1">
        <f t="shared" si="15"/>
        <v>44805</v>
      </c>
      <c r="B163" s="2">
        <f t="shared" si="16"/>
        <v>11</v>
      </c>
      <c r="C163" s="2">
        <f t="shared" si="17"/>
        <v>124</v>
      </c>
      <c r="D163" s="3">
        <f t="shared" si="26"/>
        <v>816.4823619977051</v>
      </c>
      <c r="E163" s="3">
        <f t="shared" si="24"/>
        <v>341.8408326067312</v>
      </c>
      <c r="F163" s="3">
        <f t="shared" si="18"/>
        <v>474.64152939097386</v>
      </c>
      <c r="G163" s="3">
        <f t="shared" si="19"/>
        <v>148692.26724445538</v>
      </c>
      <c r="H163" s="32"/>
      <c r="I163" s="32">
        <f>$G$39-SUM($H$39:$H163)</f>
        <v>200000</v>
      </c>
      <c r="J163" s="68"/>
      <c r="K163" s="2">
        <f t="shared" si="20"/>
        <v>11</v>
      </c>
      <c r="L163" s="2">
        <f t="shared" si="21"/>
        <v>124</v>
      </c>
      <c r="M163" s="3">
        <f>IF(L163&lt;&gt;" ",IF(P162&lt;M162,P162+N163,PMT($O$27,($N$30),-$R162))," ")</f>
        <v>773.3970181413515</v>
      </c>
      <c r="N163" s="3">
        <f t="shared" si="25"/>
        <v>289.8917667093264</v>
      </c>
      <c r="O163" s="3">
        <f t="shared" si="22"/>
        <v>483.5052514320251</v>
      </c>
      <c r="P163" s="3">
        <f t="shared" si="23"/>
        <v>148369.77675592428</v>
      </c>
      <c r="Q163" s="32"/>
      <c r="R163" s="32">
        <f>$G$39-SUM($Q$39:$Q163)</f>
        <v>200000</v>
      </c>
    </row>
    <row r="164" spans="1:18" ht="12.75">
      <c r="A164" s="1">
        <f t="shared" si="15"/>
        <v>44835</v>
      </c>
      <c r="B164" s="2">
        <f t="shared" si="16"/>
        <v>11</v>
      </c>
      <c r="C164" s="2">
        <f t="shared" si="17"/>
        <v>125</v>
      </c>
      <c r="D164" s="3">
        <f t="shared" si="26"/>
        <v>816.4823619977051</v>
      </c>
      <c r="E164" s="3">
        <f t="shared" si="24"/>
        <v>340.75311243521026</v>
      </c>
      <c r="F164" s="3">
        <f t="shared" si="18"/>
        <v>475.72924956249483</v>
      </c>
      <c r="G164" s="3">
        <f t="shared" si="19"/>
        <v>148216.5379948929</v>
      </c>
      <c r="H164" s="32"/>
      <c r="I164" s="32">
        <f>$G$39-SUM($H$39:$H164)</f>
        <v>200000</v>
      </c>
      <c r="J164" s="68"/>
      <c r="K164" s="2">
        <f t="shared" si="20"/>
        <v>11</v>
      </c>
      <c r="L164" s="2">
        <f t="shared" si="21"/>
        <v>125</v>
      </c>
      <c r="M164" s="3">
        <f>IF(L164&lt;&gt;" ",IF(P163&lt;M163,P163+N164,PMT($O$27,($N$30),-$R163))," ")</f>
        <v>773.3970181413515</v>
      </c>
      <c r="N164" s="3">
        <f t="shared" si="25"/>
        <v>288.95014023216254</v>
      </c>
      <c r="O164" s="3">
        <f t="shared" si="22"/>
        <v>484.44687790918897</v>
      </c>
      <c r="P164" s="3">
        <f t="shared" si="23"/>
        <v>147885.3298780151</v>
      </c>
      <c r="Q164" s="32"/>
      <c r="R164" s="32">
        <f>$G$39-SUM($Q$39:$Q164)</f>
        <v>200000</v>
      </c>
    </row>
    <row r="165" spans="1:18" ht="12.75">
      <c r="A165" s="1">
        <f t="shared" si="15"/>
        <v>44866</v>
      </c>
      <c r="B165" s="2">
        <f t="shared" si="16"/>
        <v>11</v>
      </c>
      <c r="C165" s="2">
        <f t="shared" si="17"/>
        <v>126</v>
      </c>
      <c r="D165" s="3">
        <f t="shared" si="26"/>
        <v>816.4823619977051</v>
      </c>
      <c r="E165" s="3">
        <f t="shared" si="24"/>
        <v>339.66289957162957</v>
      </c>
      <c r="F165" s="3">
        <f t="shared" si="18"/>
        <v>476.8194624260755</v>
      </c>
      <c r="G165" s="3">
        <f t="shared" si="19"/>
        <v>147739.71853246682</v>
      </c>
      <c r="H165" s="32"/>
      <c r="I165" s="32">
        <f>$G$39-SUM($H$39:$H165)</f>
        <v>200000</v>
      </c>
      <c r="J165" s="68"/>
      <c r="K165" s="2">
        <f t="shared" si="20"/>
        <v>11</v>
      </c>
      <c r="L165" s="2">
        <f t="shared" si="21"/>
        <v>126</v>
      </c>
      <c r="M165" s="3">
        <f>IF(L165&lt;&gt;" ",IF(P164&lt;M164,P164+N165,PMT($O$27,($N$30),-$R164))," ")</f>
        <v>773.3970181413515</v>
      </c>
      <c r="N165" s="3">
        <f t="shared" si="25"/>
        <v>288.00667993743446</v>
      </c>
      <c r="O165" s="3">
        <f t="shared" si="22"/>
        <v>485.39033820391705</v>
      </c>
      <c r="P165" s="3">
        <f t="shared" si="23"/>
        <v>147399.93953981117</v>
      </c>
      <c r="Q165" s="32"/>
      <c r="R165" s="32">
        <f>$G$39-SUM($Q$39:$Q165)</f>
        <v>200000</v>
      </c>
    </row>
    <row r="166" spans="1:18" ht="12.75">
      <c r="A166" s="1">
        <f t="shared" si="15"/>
        <v>44896</v>
      </c>
      <c r="B166" s="2">
        <f t="shared" si="16"/>
        <v>11</v>
      </c>
      <c r="C166" s="2">
        <f t="shared" si="17"/>
        <v>127</v>
      </c>
      <c r="D166" s="3">
        <f t="shared" si="26"/>
        <v>816.4823619977051</v>
      </c>
      <c r="E166" s="3">
        <f t="shared" si="24"/>
        <v>338.5701883035698</v>
      </c>
      <c r="F166" s="3">
        <f t="shared" si="18"/>
        <v>477.9121736941353</v>
      </c>
      <c r="G166" s="3">
        <f t="shared" si="19"/>
        <v>147261.80635877268</v>
      </c>
      <c r="H166" s="32"/>
      <c r="I166" s="32">
        <f>$G$39-SUM($H$39:$H166)</f>
        <v>200000</v>
      </c>
      <c r="J166" s="68"/>
      <c r="K166" s="2">
        <f t="shared" si="20"/>
        <v>11</v>
      </c>
      <c r="L166" s="2">
        <f t="shared" si="21"/>
        <v>127</v>
      </c>
      <c r="M166" s="3">
        <f>IF(L166&lt;&gt;" ",IF(P165&lt;M165,P165+N166,PMT($O$27,($N$30),-$R165))," ")</f>
        <v>773.3970181413515</v>
      </c>
      <c r="N166" s="3">
        <f t="shared" si="25"/>
        <v>287.06138225378226</v>
      </c>
      <c r="O166" s="3">
        <f t="shared" si="22"/>
        <v>486.33563588756925</v>
      </c>
      <c r="P166" s="3">
        <f t="shared" si="23"/>
        <v>146913.6039039236</v>
      </c>
      <c r="Q166" s="32"/>
      <c r="R166" s="32">
        <f>$G$39-SUM($Q$39:$Q166)</f>
        <v>200000</v>
      </c>
    </row>
    <row r="167" spans="1:18" ht="12.75">
      <c r="A167" s="1">
        <f t="shared" si="15"/>
        <v>44927</v>
      </c>
      <c r="B167" s="2">
        <f t="shared" si="16"/>
        <v>11</v>
      </c>
      <c r="C167" s="2">
        <f t="shared" si="17"/>
        <v>128</v>
      </c>
      <c r="D167" s="3">
        <f t="shared" si="26"/>
        <v>816.4823619977051</v>
      </c>
      <c r="E167" s="3">
        <f t="shared" si="24"/>
        <v>337.4749729055207</v>
      </c>
      <c r="F167" s="3">
        <f t="shared" si="18"/>
        <v>479.0073890921844</v>
      </c>
      <c r="G167" s="3">
        <f t="shared" si="19"/>
        <v>146782.7989696805</v>
      </c>
      <c r="H167" s="32"/>
      <c r="I167" s="32">
        <f>$G$39-SUM($H$39:$H167)</f>
        <v>200000</v>
      </c>
      <c r="J167" s="68"/>
      <c r="K167" s="2">
        <f t="shared" si="20"/>
        <v>11</v>
      </c>
      <c r="L167" s="2">
        <f t="shared" si="21"/>
        <v>128</v>
      </c>
      <c r="M167" s="3">
        <f>IF(L167&lt;&gt;" ",IF(P166&lt;M166,P166+N167,PMT($O$27,($N$30),-$R166))," ")</f>
        <v>773.3970181413515</v>
      </c>
      <c r="N167" s="3">
        <f t="shared" si="25"/>
        <v>286.11424360289124</v>
      </c>
      <c r="O167" s="3">
        <f t="shared" si="22"/>
        <v>487.2827745384603</v>
      </c>
      <c r="P167" s="3">
        <f t="shared" si="23"/>
        <v>146426.32112938512</v>
      </c>
      <c r="Q167" s="32"/>
      <c r="R167" s="32">
        <f>$G$39-SUM($Q$39:$Q167)</f>
        <v>200000</v>
      </c>
    </row>
    <row r="168" spans="1:18" ht="12.75">
      <c r="A168" s="1">
        <f t="shared" si="15"/>
        <v>44958</v>
      </c>
      <c r="B168" s="2">
        <f t="shared" si="16"/>
        <v>11</v>
      </c>
      <c r="C168" s="2">
        <f t="shared" si="17"/>
        <v>129</v>
      </c>
      <c r="D168" s="3">
        <f t="shared" si="26"/>
        <v>816.4823619977051</v>
      </c>
      <c r="E168" s="3">
        <f t="shared" si="24"/>
        <v>336.37724763885114</v>
      </c>
      <c r="F168" s="3">
        <f t="shared" si="18"/>
        <v>480.10511435885394</v>
      </c>
      <c r="G168" s="3">
        <f t="shared" si="19"/>
        <v>146302.69385532165</v>
      </c>
      <c r="H168" s="32"/>
      <c r="I168" s="32">
        <f>$G$39-SUM($H$39:$H168)</f>
        <v>200000</v>
      </c>
      <c r="J168" s="68"/>
      <c r="K168" s="2">
        <f t="shared" si="20"/>
        <v>11</v>
      </c>
      <c r="L168" s="2">
        <f t="shared" si="21"/>
        <v>129</v>
      </c>
      <c r="M168" s="3">
        <f>IF(L168&lt;&gt;" ",IF(P167&lt;M167,P167+N168,PMT($O$27,($N$30),-$R167))," ")</f>
        <v>773.3970181413515</v>
      </c>
      <c r="N168" s="3">
        <f t="shared" si="25"/>
        <v>285.1652603994776</v>
      </c>
      <c r="O168" s="3">
        <f t="shared" si="22"/>
        <v>488.23175774187393</v>
      </c>
      <c r="P168" s="3">
        <f t="shared" si="23"/>
        <v>145938.08937164323</v>
      </c>
      <c r="Q168" s="32"/>
      <c r="R168" s="32">
        <f>$G$39-SUM($Q$39:$Q168)</f>
        <v>200000</v>
      </c>
    </row>
    <row r="169" spans="1:18" ht="12.75">
      <c r="A169" s="1">
        <f aca="true" t="shared" si="27" ref="A169:A232">IF(B169&lt;&gt;" ",DATE(YEAR(A168),MONTH(A168)+1,DAY(A168)),"")</f>
        <v>44986</v>
      </c>
      <c r="B169" s="2">
        <f aca="true" t="shared" si="28" ref="B169:B232">IF(C169&lt;&gt;" ",INT(C168/12)+1," ")</f>
        <v>11</v>
      </c>
      <c r="C169" s="2">
        <f aca="true" t="shared" si="29" ref="C169:C232">IF(CODE(C168)=32," ",IF(AND(C168+1&lt;=$E$30,G168&gt;0),+C168+1," "))</f>
        <v>130</v>
      </c>
      <c r="D169" s="3">
        <f t="shared" si="26"/>
        <v>816.4823619977051</v>
      </c>
      <c r="E169" s="3">
        <f t="shared" si="24"/>
        <v>335.2770067517788</v>
      </c>
      <c r="F169" s="3">
        <f aca="true" t="shared" si="30" ref="F169:F232">IF(C169&lt;&gt;" ",D169-E169+H169," ")</f>
        <v>481.2053552459263</v>
      </c>
      <c r="G169" s="3">
        <f aca="true" t="shared" si="31" ref="G169:G232">IF(C169&lt;&gt;" ",G168-F169," ")</f>
        <v>145821.4885000757</v>
      </c>
      <c r="H169" s="32"/>
      <c r="I169" s="32">
        <f>$G$39-SUM($H$39:$H169)</f>
        <v>200000</v>
      </c>
      <c r="J169" s="68"/>
      <c r="K169" s="2">
        <f aca="true" t="shared" si="32" ref="K169:K232">IF(L169&lt;&gt;" ",INT(L168/12)+1," ")</f>
        <v>11</v>
      </c>
      <c r="L169" s="2">
        <f aca="true" t="shared" si="33" ref="L169:L232">IF(CODE(L168)=32," ",IF(AND(L168+1&lt;=$E$30,P168&gt;0),+L168+1," "))</f>
        <v>130</v>
      </c>
      <c r="M169" s="3">
        <f>IF(L169&lt;&gt;" ",IF(P168&lt;M168,P168+N169,PMT($O$27,($N$30),-$R168))," ")</f>
        <v>773.3970181413515</v>
      </c>
      <c r="N169" s="3">
        <f t="shared" si="25"/>
        <v>284.2144290512752</v>
      </c>
      <c r="O169" s="3">
        <f aca="true" t="shared" si="34" ref="O169:O232">IF(L169&lt;&gt;" ",M169-N169+Q169," ")</f>
        <v>489.1825890900763</v>
      </c>
      <c r="P169" s="3">
        <f aca="true" t="shared" si="35" ref="P169:P232">IF(L169&lt;&gt;" ",P168-O169," ")</f>
        <v>145448.90678255315</v>
      </c>
      <c r="Q169" s="32"/>
      <c r="R169" s="32">
        <f>$G$39-SUM($Q$39:$Q169)</f>
        <v>200000</v>
      </c>
    </row>
    <row r="170" spans="1:18" ht="12.75">
      <c r="A170" s="1">
        <f t="shared" si="27"/>
        <v>45017</v>
      </c>
      <c r="B170" s="2">
        <f t="shared" si="28"/>
        <v>11</v>
      </c>
      <c r="C170" s="2">
        <f t="shared" si="29"/>
        <v>131</v>
      </c>
      <c r="D170" s="3">
        <f t="shared" si="26"/>
        <v>816.4823619977051</v>
      </c>
      <c r="E170" s="3">
        <f t="shared" si="24"/>
        <v>334.1742444793402</v>
      </c>
      <c r="F170" s="3">
        <f t="shared" si="30"/>
        <v>482.3081175183649</v>
      </c>
      <c r="G170" s="3">
        <f t="shared" si="31"/>
        <v>145339.18038255733</v>
      </c>
      <c r="H170" s="32"/>
      <c r="I170" s="32">
        <f>$G$39-SUM($H$39:$H170)</f>
        <v>200000</v>
      </c>
      <c r="J170" s="68"/>
      <c r="K170" s="2">
        <f t="shared" si="32"/>
        <v>11</v>
      </c>
      <c r="L170" s="2">
        <f t="shared" si="33"/>
        <v>131</v>
      </c>
      <c r="M170" s="3">
        <f>IF(L170&lt;&gt;" ",IF(P169&lt;M169,P169+N170,PMT($O$27,($N$30),-$R169))," ")</f>
        <v>773.3970181413515</v>
      </c>
      <c r="N170" s="3">
        <f t="shared" si="25"/>
        <v>283.2617459590223</v>
      </c>
      <c r="O170" s="3">
        <f t="shared" si="34"/>
        <v>490.13527218232923</v>
      </c>
      <c r="P170" s="3">
        <f t="shared" si="35"/>
        <v>144958.77151037083</v>
      </c>
      <c r="Q170" s="32"/>
      <c r="R170" s="32">
        <f>$G$39-SUM($Q$39:$Q170)</f>
        <v>200000</v>
      </c>
    </row>
    <row r="171" spans="1:18" ht="12.75">
      <c r="A171" s="1">
        <f t="shared" si="27"/>
        <v>45047</v>
      </c>
      <c r="B171" s="2">
        <f t="shared" si="28"/>
        <v>11</v>
      </c>
      <c r="C171" s="2">
        <f t="shared" si="29"/>
        <v>132</v>
      </c>
      <c r="D171" s="3">
        <f t="shared" si="26"/>
        <v>816.4823619977051</v>
      </c>
      <c r="E171" s="3">
        <f t="shared" si="24"/>
        <v>333.0689550433606</v>
      </c>
      <c r="F171" s="3">
        <f t="shared" si="30"/>
        <v>483.4134069543445</v>
      </c>
      <c r="G171" s="3">
        <f t="shared" si="31"/>
        <v>144855.76697560298</v>
      </c>
      <c r="H171" s="32"/>
      <c r="I171" s="32">
        <f>$G$39-SUM($H$39:$H171)</f>
        <v>200000</v>
      </c>
      <c r="J171" s="68"/>
      <c r="K171" s="2">
        <f t="shared" si="32"/>
        <v>11</v>
      </c>
      <c r="L171" s="2">
        <f t="shared" si="33"/>
        <v>132</v>
      </c>
      <c r="M171" s="3">
        <f>IF(L171&lt;&gt;" ",IF(P170&lt;M170,P170+N171,PMT($O$27,($N$30),-$R170))," ")</f>
        <v>773.3970181413515</v>
      </c>
      <c r="N171" s="3">
        <f t="shared" si="25"/>
        <v>282.30720751644725</v>
      </c>
      <c r="O171" s="3">
        <f t="shared" si="34"/>
        <v>491.08981062490426</v>
      </c>
      <c r="P171" s="3">
        <f t="shared" si="35"/>
        <v>144467.68169974594</v>
      </c>
      <c r="Q171" s="32"/>
      <c r="R171" s="32">
        <f>$G$39-SUM($Q$39:$Q171)</f>
        <v>200000</v>
      </c>
    </row>
    <row r="172" spans="1:18" ht="12.75">
      <c r="A172" s="1">
        <f t="shared" si="27"/>
        <v>45078</v>
      </c>
      <c r="B172" s="2">
        <f t="shared" si="28"/>
        <v>12</v>
      </c>
      <c r="C172" s="2">
        <f t="shared" si="29"/>
        <v>133</v>
      </c>
      <c r="D172" s="3">
        <f t="shared" si="26"/>
        <v>816.4823619977051</v>
      </c>
      <c r="E172" s="3">
        <f t="shared" si="24"/>
        <v>331.9611326524235</v>
      </c>
      <c r="F172" s="3">
        <f t="shared" si="30"/>
        <v>484.5212293452816</v>
      </c>
      <c r="G172" s="3">
        <f t="shared" si="31"/>
        <v>144371.2457462577</v>
      </c>
      <c r="H172" s="32"/>
      <c r="I172" s="32">
        <f>$G$39-SUM($H$39:$H172)</f>
        <v>200000</v>
      </c>
      <c r="J172" s="68"/>
      <c r="K172" s="2">
        <f t="shared" si="32"/>
        <v>12</v>
      </c>
      <c r="L172" s="2">
        <f t="shared" si="33"/>
        <v>133</v>
      </c>
      <c r="M172" s="3">
        <f>IF(L172&lt;&gt;" ",IF(P171&lt;M171,P171+N172,PMT($O$27,($N$30),-$R171))," ")</f>
        <v>773.3970181413515</v>
      </c>
      <c r="N172" s="3">
        <f t="shared" si="25"/>
        <v>281.3508101102552</v>
      </c>
      <c r="O172" s="3">
        <f t="shared" si="34"/>
        <v>492.0462080310963</v>
      </c>
      <c r="P172" s="3">
        <f t="shared" si="35"/>
        <v>143975.63549171484</v>
      </c>
      <c r="Q172" s="32"/>
      <c r="R172" s="32">
        <f>$G$39-SUM($Q$39:$Q172)</f>
        <v>200000</v>
      </c>
    </row>
    <row r="173" spans="1:18" ht="12.75">
      <c r="A173" s="1">
        <f t="shared" si="27"/>
        <v>45108</v>
      </c>
      <c r="B173" s="2">
        <f t="shared" si="28"/>
        <v>12</v>
      </c>
      <c r="C173" s="2">
        <f t="shared" si="29"/>
        <v>134</v>
      </c>
      <c r="D173" s="3">
        <f t="shared" si="26"/>
        <v>816.4823619977051</v>
      </c>
      <c r="E173" s="3">
        <f t="shared" si="24"/>
        <v>330.85077150184054</v>
      </c>
      <c r="F173" s="3">
        <f t="shared" si="30"/>
        <v>485.63159049586454</v>
      </c>
      <c r="G173" s="3">
        <f t="shared" si="31"/>
        <v>143885.6141557618</v>
      </c>
      <c r="H173" s="32"/>
      <c r="I173" s="32">
        <f>$G$39-SUM($H$39:$H173)</f>
        <v>200000</v>
      </c>
      <c r="J173" s="68"/>
      <c r="K173" s="2">
        <f t="shared" si="32"/>
        <v>12</v>
      </c>
      <c r="L173" s="2">
        <f t="shared" si="33"/>
        <v>134</v>
      </c>
      <c r="M173" s="3">
        <f>IF(L173&lt;&gt;" ",IF(P172&lt;M172,P172+N173,PMT($O$27,($N$30),-$R172))," ")</f>
        <v>773.3970181413515</v>
      </c>
      <c r="N173" s="3">
        <f t="shared" si="25"/>
        <v>280.39255012011466</v>
      </c>
      <c r="O173" s="3">
        <f t="shared" si="34"/>
        <v>493.00446802123685</v>
      </c>
      <c r="P173" s="3">
        <f t="shared" si="35"/>
        <v>143482.6310236936</v>
      </c>
      <c r="Q173" s="32"/>
      <c r="R173" s="32">
        <f>$G$39-SUM($Q$39:$Q173)</f>
        <v>200000</v>
      </c>
    </row>
    <row r="174" spans="1:18" ht="12.75">
      <c r="A174" s="1">
        <f t="shared" si="27"/>
        <v>45139</v>
      </c>
      <c r="B174" s="2">
        <f t="shared" si="28"/>
        <v>12</v>
      </c>
      <c r="C174" s="2">
        <f t="shared" si="29"/>
        <v>135</v>
      </c>
      <c r="D174" s="3">
        <f t="shared" si="26"/>
        <v>816.4823619977051</v>
      </c>
      <c r="E174" s="3">
        <f t="shared" si="24"/>
        <v>329.7378657736208</v>
      </c>
      <c r="F174" s="3">
        <f t="shared" si="30"/>
        <v>486.7444962240843</v>
      </c>
      <c r="G174" s="3">
        <f t="shared" si="31"/>
        <v>143398.86965953774</v>
      </c>
      <c r="H174" s="32"/>
      <c r="I174" s="32">
        <f>$G$39-SUM($H$39:$H174)</f>
        <v>200000</v>
      </c>
      <c r="J174" s="68"/>
      <c r="K174" s="2">
        <f t="shared" si="32"/>
        <v>12</v>
      </c>
      <c r="L174" s="2">
        <f t="shared" si="33"/>
        <v>135</v>
      </c>
      <c r="M174" s="3">
        <f>IF(L174&lt;&gt;" ",IF(P173&lt;M173,P173+N174,PMT($O$27,($N$30),-$R173))," ")</f>
        <v>773.3970181413515</v>
      </c>
      <c r="N174" s="3">
        <f t="shared" si="25"/>
        <v>279.43242391864334</v>
      </c>
      <c r="O174" s="3">
        <f t="shared" si="34"/>
        <v>493.9645942227082</v>
      </c>
      <c r="P174" s="3">
        <f t="shared" si="35"/>
        <v>142988.66642947088</v>
      </c>
      <c r="Q174" s="32"/>
      <c r="R174" s="32">
        <f>$G$39-SUM($Q$39:$Q174)</f>
        <v>200000</v>
      </c>
    </row>
    <row r="175" spans="1:18" ht="12.75">
      <c r="A175" s="1">
        <f t="shared" si="27"/>
        <v>45170</v>
      </c>
      <c r="B175" s="2">
        <f t="shared" si="28"/>
        <v>12</v>
      </c>
      <c r="C175" s="2">
        <f t="shared" si="29"/>
        <v>136</v>
      </c>
      <c r="D175" s="3">
        <f t="shared" si="26"/>
        <v>816.4823619977051</v>
      </c>
      <c r="E175" s="3">
        <f t="shared" si="24"/>
        <v>328.62240963644064</v>
      </c>
      <c r="F175" s="3">
        <f t="shared" si="30"/>
        <v>487.85995236126445</v>
      </c>
      <c r="G175" s="3">
        <f t="shared" si="31"/>
        <v>142911.00970717648</v>
      </c>
      <c r="H175" s="32"/>
      <c r="I175" s="32">
        <f>$G$39-SUM($H$39:$H175)</f>
        <v>200000</v>
      </c>
      <c r="J175" s="68"/>
      <c r="K175" s="2">
        <f t="shared" si="32"/>
        <v>12</v>
      </c>
      <c r="L175" s="2">
        <f t="shared" si="33"/>
        <v>136</v>
      </c>
      <c r="M175" s="3">
        <f>IF(L175&lt;&gt;" ",IF(P174&lt;M174,P174+N175,PMT($O$27,($N$30),-$R174))," ")</f>
        <v>773.3970181413515</v>
      </c>
      <c r="N175" s="3">
        <f t="shared" si="25"/>
        <v>278.4704278713946</v>
      </c>
      <c r="O175" s="3">
        <f t="shared" si="34"/>
        <v>494.92659026995693</v>
      </c>
      <c r="P175" s="3">
        <f t="shared" si="35"/>
        <v>142493.73983920092</v>
      </c>
      <c r="Q175" s="32"/>
      <c r="R175" s="32">
        <f>$G$39-SUM($Q$39:$Q175)</f>
        <v>200000</v>
      </c>
    </row>
    <row r="176" spans="1:18" ht="12.75">
      <c r="A176" s="1">
        <f t="shared" si="27"/>
        <v>45200</v>
      </c>
      <c r="B176" s="2">
        <f t="shared" si="28"/>
        <v>12</v>
      </c>
      <c r="C176" s="2">
        <f t="shared" si="29"/>
        <v>137</v>
      </c>
      <c r="D176" s="3">
        <f t="shared" si="26"/>
        <v>816.4823619977051</v>
      </c>
      <c r="E176" s="3">
        <f t="shared" si="24"/>
        <v>327.5043972456128</v>
      </c>
      <c r="F176" s="3">
        <f t="shared" si="30"/>
        <v>488.9779647520923</v>
      </c>
      <c r="G176" s="3">
        <f t="shared" si="31"/>
        <v>142422.03174242438</v>
      </c>
      <c r="H176" s="32"/>
      <c r="I176" s="32">
        <f>$G$39-SUM($H$39:$H176)</f>
        <v>200000</v>
      </c>
      <c r="J176" s="68"/>
      <c r="K176" s="2">
        <f t="shared" si="32"/>
        <v>12</v>
      </c>
      <c r="L176" s="2">
        <f t="shared" si="33"/>
        <v>137</v>
      </c>
      <c r="M176" s="3">
        <f>IF(L176&lt;&gt;" ",IF(P175&lt;M175,P175+N176,PMT($O$27,($N$30),-$R175))," ")</f>
        <v>773.3970181413515</v>
      </c>
      <c r="N176" s="3">
        <f t="shared" si="25"/>
        <v>277.50655833684385</v>
      </c>
      <c r="O176" s="3">
        <f t="shared" si="34"/>
        <v>495.89045980450766</v>
      </c>
      <c r="P176" s="3">
        <f t="shared" si="35"/>
        <v>141997.84937939642</v>
      </c>
      <c r="Q176" s="32"/>
      <c r="R176" s="32">
        <f>$G$39-SUM($Q$39:$Q176)</f>
        <v>200000</v>
      </c>
    </row>
    <row r="177" spans="1:18" ht="12.75">
      <c r="A177" s="1">
        <f t="shared" si="27"/>
        <v>45231</v>
      </c>
      <c r="B177" s="2">
        <f t="shared" si="28"/>
        <v>12</v>
      </c>
      <c r="C177" s="2">
        <f t="shared" si="29"/>
        <v>138</v>
      </c>
      <c r="D177" s="3">
        <f t="shared" si="26"/>
        <v>816.4823619977051</v>
      </c>
      <c r="E177" s="3">
        <f t="shared" si="24"/>
        <v>326.3838227430559</v>
      </c>
      <c r="F177" s="3">
        <f t="shared" si="30"/>
        <v>490.0985392546492</v>
      </c>
      <c r="G177" s="3">
        <f t="shared" si="31"/>
        <v>141931.93320316973</v>
      </c>
      <c r="H177" s="32"/>
      <c r="I177" s="32">
        <f>$G$39-SUM($H$39:$H177)</f>
        <v>200000</v>
      </c>
      <c r="J177" s="68"/>
      <c r="K177" s="2">
        <f t="shared" si="32"/>
        <v>12</v>
      </c>
      <c r="L177" s="2">
        <f t="shared" si="33"/>
        <v>138</v>
      </c>
      <c r="M177" s="3">
        <f>IF(L177&lt;&gt;" ",IF(P176&lt;M176,P176+N177,PMT($O$27,($N$30),-$R176))," ")</f>
        <v>773.3970181413515</v>
      </c>
      <c r="N177" s="3">
        <f t="shared" si="25"/>
        <v>276.54081166637457</v>
      </c>
      <c r="O177" s="3">
        <f t="shared" si="34"/>
        <v>496.85620647497694</v>
      </c>
      <c r="P177" s="3">
        <f t="shared" si="35"/>
        <v>141500.99317292144</v>
      </c>
      <c r="Q177" s="32"/>
      <c r="R177" s="32">
        <f>$G$39-SUM($Q$39:$Q177)</f>
        <v>200000</v>
      </c>
    </row>
    <row r="178" spans="1:18" ht="12.75">
      <c r="A178" s="1">
        <f t="shared" si="27"/>
        <v>45261</v>
      </c>
      <c r="B178" s="2">
        <f t="shared" si="28"/>
        <v>12</v>
      </c>
      <c r="C178" s="2">
        <f t="shared" si="29"/>
        <v>139</v>
      </c>
      <c r="D178" s="3">
        <f t="shared" si="26"/>
        <v>816.4823619977051</v>
      </c>
      <c r="E178" s="3">
        <f t="shared" si="24"/>
        <v>325.26068025726397</v>
      </c>
      <c r="F178" s="3">
        <f t="shared" si="30"/>
        <v>491.2216817404411</v>
      </c>
      <c r="G178" s="3">
        <f t="shared" si="31"/>
        <v>141440.71152142927</v>
      </c>
      <c r="H178" s="32"/>
      <c r="I178" s="32">
        <f>$G$39-SUM($H$39:$H178)</f>
        <v>200000</v>
      </c>
      <c r="J178" s="68"/>
      <c r="K178" s="2">
        <f t="shared" si="32"/>
        <v>12</v>
      </c>
      <c r="L178" s="2">
        <f t="shared" si="33"/>
        <v>139</v>
      </c>
      <c r="M178" s="3">
        <f>IF(L178&lt;&gt;" ",IF(P177&lt;M177,P177+N178,PMT($O$27,($N$30),-$R177))," ")</f>
        <v>773.3970181413515</v>
      </c>
      <c r="N178" s="3">
        <f t="shared" si="25"/>
        <v>275.5731842042645</v>
      </c>
      <c r="O178" s="3">
        <f t="shared" si="34"/>
        <v>497.823833937087</v>
      </c>
      <c r="P178" s="3">
        <f t="shared" si="35"/>
        <v>141003.16933898436</v>
      </c>
      <c r="Q178" s="32"/>
      <c r="R178" s="32">
        <f>$G$39-SUM($Q$39:$Q178)</f>
        <v>200000</v>
      </c>
    </row>
    <row r="179" spans="1:18" ht="12.75">
      <c r="A179" s="1">
        <f t="shared" si="27"/>
        <v>45292</v>
      </c>
      <c r="B179" s="2">
        <f t="shared" si="28"/>
        <v>12</v>
      </c>
      <c r="C179" s="2">
        <f t="shared" si="29"/>
        <v>140</v>
      </c>
      <c r="D179" s="3">
        <f t="shared" si="26"/>
        <v>816.4823619977051</v>
      </c>
      <c r="E179" s="3">
        <f t="shared" si="24"/>
        <v>324.13496390327543</v>
      </c>
      <c r="F179" s="3">
        <f t="shared" si="30"/>
        <v>492.34739809442965</v>
      </c>
      <c r="G179" s="3">
        <f t="shared" si="31"/>
        <v>140948.36412333485</v>
      </c>
      <c r="H179" s="32"/>
      <c r="I179" s="32">
        <f>$G$39-SUM($H$39:$H179)</f>
        <v>200000</v>
      </c>
      <c r="J179" s="68"/>
      <c r="K179" s="2">
        <f t="shared" si="32"/>
        <v>12</v>
      </c>
      <c r="L179" s="2">
        <f t="shared" si="33"/>
        <v>140</v>
      </c>
      <c r="M179" s="3">
        <f>IF(L179&lt;&gt;" ",IF(P178&lt;M178,P178+N179,PMT($O$27,($N$30),-$R178))," ")</f>
        <v>773.3970181413515</v>
      </c>
      <c r="N179" s="3">
        <f t="shared" si="25"/>
        <v>274.60367228767205</v>
      </c>
      <c r="O179" s="3">
        <f t="shared" si="34"/>
        <v>498.79334585367945</v>
      </c>
      <c r="P179" s="3">
        <f t="shared" si="35"/>
        <v>140504.37599313067</v>
      </c>
      <c r="Q179" s="32"/>
      <c r="R179" s="32">
        <f>$G$39-SUM($Q$39:$Q179)</f>
        <v>200000</v>
      </c>
    </row>
    <row r="180" spans="1:18" ht="12.75">
      <c r="A180" s="1">
        <f t="shared" si="27"/>
        <v>45323</v>
      </c>
      <c r="B180" s="2">
        <f t="shared" si="28"/>
        <v>12</v>
      </c>
      <c r="C180" s="2">
        <f t="shared" si="29"/>
        <v>141</v>
      </c>
      <c r="D180" s="3">
        <f t="shared" si="26"/>
        <v>816.4823619977051</v>
      </c>
      <c r="E180" s="3">
        <f t="shared" si="24"/>
        <v>323.00666778264235</v>
      </c>
      <c r="F180" s="3">
        <f t="shared" si="30"/>
        <v>493.47569421506273</v>
      </c>
      <c r="G180" s="3">
        <f t="shared" si="31"/>
        <v>140454.88842911978</v>
      </c>
      <c r="H180" s="32"/>
      <c r="I180" s="32">
        <f>$G$39-SUM($H$39:$H180)</f>
        <v>200000</v>
      </c>
      <c r="J180" s="68"/>
      <c r="K180" s="2">
        <f t="shared" si="32"/>
        <v>12</v>
      </c>
      <c r="L180" s="2">
        <f t="shared" si="33"/>
        <v>141</v>
      </c>
      <c r="M180" s="3">
        <f>IF(L180&lt;&gt;" ",IF(P179&lt;M179,P179+N180,PMT($O$27,($N$30),-$R179))," ")</f>
        <v>773.3970181413515</v>
      </c>
      <c r="N180" s="3">
        <f t="shared" si="25"/>
        <v>273.632272246622</v>
      </c>
      <c r="O180" s="3">
        <f t="shared" si="34"/>
        <v>499.7647458947295</v>
      </c>
      <c r="P180" s="3">
        <f t="shared" si="35"/>
        <v>140004.61124723594</v>
      </c>
      <c r="Q180" s="32"/>
      <c r="R180" s="32">
        <f>$G$39-SUM($Q$39:$Q180)</f>
        <v>200000</v>
      </c>
    </row>
    <row r="181" spans="1:18" ht="12.75">
      <c r="A181" s="1">
        <f t="shared" si="27"/>
        <v>45352</v>
      </c>
      <c r="B181" s="2">
        <f t="shared" si="28"/>
        <v>12</v>
      </c>
      <c r="C181" s="2">
        <f t="shared" si="29"/>
        <v>142</v>
      </c>
      <c r="D181" s="3">
        <f t="shared" si="26"/>
        <v>816.4823619977051</v>
      </c>
      <c r="E181" s="3">
        <f aca="true" t="shared" si="36" ref="E181:E244">IF(C181&lt;&gt;" ",G180*$F$27," ")</f>
        <v>321.8757859833995</v>
      </c>
      <c r="F181" s="3">
        <f t="shared" si="30"/>
        <v>494.6065760143056</v>
      </c>
      <c r="G181" s="3">
        <f t="shared" si="31"/>
        <v>139960.28185310547</v>
      </c>
      <c r="H181" s="32"/>
      <c r="I181" s="32">
        <f>$G$39-SUM($H$39:$H181)</f>
        <v>200000</v>
      </c>
      <c r="J181" s="68"/>
      <c r="K181" s="2">
        <f t="shared" si="32"/>
        <v>12</v>
      </c>
      <c r="L181" s="2">
        <f t="shared" si="33"/>
        <v>142</v>
      </c>
      <c r="M181" s="3">
        <f>IF(L181&lt;&gt;" ",IF(P180&lt;M180,P180+N181,PMT($O$27,($N$30),-$R180))," ")</f>
        <v>773.3970181413515</v>
      </c>
      <c r="N181" s="3">
        <f aca="true" t="shared" si="37" ref="N181:N244">IF(L181&lt;&gt;" ",P180*$O$27," ")</f>
        <v>272.658980403992</v>
      </c>
      <c r="O181" s="3">
        <f t="shared" si="34"/>
        <v>500.7380377373595</v>
      </c>
      <c r="P181" s="3">
        <f t="shared" si="35"/>
        <v>139503.8732094986</v>
      </c>
      <c r="Q181" s="32"/>
      <c r="R181" s="32">
        <f>$G$39-SUM($Q$39:$Q181)</f>
        <v>200000</v>
      </c>
    </row>
    <row r="182" spans="1:18" ht="12.75">
      <c r="A182" s="1">
        <f t="shared" si="27"/>
        <v>45383</v>
      </c>
      <c r="B182" s="2">
        <f t="shared" si="28"/>
        <v>12</v>
      </c>
      <c r="C182" s="2">
        <f t="shared" si="29"/>
        <v>143</v>
      </c>
      <c r="D182" s="3">
        <f t="shared" si="26"/>
        <v>816.4823619977051</v>
      </c>
      <c r="E182" s="3">
        <f t="shared" si="36"/>
        <v>320.74231258003334</v>
      </c>
      <c r="F182" s="3">
        <f t="shared" si="30"/>
        <v>495.74004941767174</v>
      </c>
      <c r="G182" s="3">
        <f t="shared" si="31"/>
        <v>139464.54180368778</v>
      </c>
      <c r="H182" s="32"/>
      <c r="I182" s="32">
        <f>$G$39-SUM($H$39:$H182)</f>
        <v>200000</v>
      </c>
      <c r="J182" s="68"/>
      <c r="K182" s="2">
        <f t="shared" si="32"/>
        <v>12</v>
      </c>
      <c r="L182" s="2">
        <f t="shared" si="33"/>
        <v>143</v>
      </c>
      <c r="M182" s="3">
        <f>IF(L182&lt;&gt;" ",IF(P181&lt;M181,P181+N182,PMT($O$27,($N$30),-$R181))," ")</f>
        <v>773.3970181413515</v>
      </c>
      <c r="N182" s="3">
        <f t="shared" si="37"/>
        <v>271.68379307549856</v>
      </c>
      <c r="O182" s="3">
        <f t="shared" si="34"/>
        <v>501.71322506585295</v>
      </c>
      <c r="P182" s="3">
        <f t="shared" si="35"/>
        <v>139002.15998443274</v>
      </c>
      <c r="Q182" s="32"/>
      <c r="R182" s="32">
        <f>$G$39-SUM($Q$39:$Q182)</f>
        <v>200000</v>
      </c>
    </row>
    <row r="183" spans="1:18" ht="12.75">
      <c r="A183" s="1">
        <f t="shared" si="27"/>
        <v>45413</v>
      </c>
      <c r="B183" s="2">
        <f t="shared" si="28"/>
        <v>12</v>
      </c>
      <c r="C183" s="2">
        <f t="shared" si="29"/>
        <v>144</v>
      </c>
      <c r="D183" s="3">
        <f t="shared" si="26"/>
        <v>816.4823619977051</v>
      </c>
      <c r="E183" s="3">
        <f t="shared" si="36"/>
        <v>319.6062416334512</v>
      </c>
      <c r="F183" s="3">
        <f t="shared" si="30"/>
        <v>496.8761203642539</v>
      </c>
      <c r="G183" s="3">
        <f t="shared" si="31"/>
        <v>138967.66568332352</v>
      </c>
      <c r="H183" s="32"/>
      <c r="I183" s="32">
        <f>$G$39-SUM($H$39:$H183)</f>
        <v>200000</v>
      </c>
      <c r="J183" s="68"/>
      <c r="K183" s="2">
        <f t="shared" si="32"/>
        <v>12</v>
      </c>
      <c r="L183" s="2">
        <f t="shared" si="33"/>
        <v>144</v>
      </c>
      <c r="M183" s="3">
        <f>IF(L183&lt;&gt;" ",IF(P182&lt;M182,P182+N183,PMT($O$27,($N$30),-$R182))," ")</f>
        <v>773.3970181413515</v>
      </c>
      <c r="N183" s="3">
        <f t="shared" si="37"/>
        <v>270.7067065696828</v>
      </c>
      <c r="O183" s="3">
        <f t="shared" si="34"/>
        <v>502.6903115716687</v>
      </c>
      <c r="P183" s="3">
        <f t="shared" si="35"/>
        <v>138499.46967286107</v>
      </c>
      <c r="Q183" s="32"/>
      <c r="R183" s="32">
        <f>$G$39-SUM($Q$39:$Q183)</f>
        <v>200000</v>
      </c>
    </row>
    <row r="184" spans="1:18" ht="12.75">
      <c r="A184" s="1">
        <f t="shared" si="27"/>
        <v>45444</v>
      </c>
      <c r="B184" s="2">
        <f t="shared" si="28"/>
        <v>13</v>
      </c>
      <c r="C184" s="2">
        <f t="shared" si="29"/>
        <v>145</v>
      </c>
      <c r="D184" s="3">
        <f aca="true" t="shared" si="38" ref="D184:D247">IF(C184&lt;&gt;" ",IF(G183&lt;D183,G183+E184,PMT($F$27,($E$30),-I183))," ")</f>
        <v>816.4823619977051</v>
      </c>
      <c r="E184" s="3">
        <f t="shared" si="36"/>
        <v>318.46756719094975</v>
      </c>
      <c r="F184" s="3">
        <f t="shared" si="30"/>
        <v>498.01479480675533</v>
      </c>
      <c r="G184" s="3">
        <f t="shared" si="31"/>
        <v>138469.65088851677</v>
      </c>
      <c r="H184" s="32"/>
      <c r="I184" s="32">
        <f>$G$39-SUM($H$39:$H184)</f>
        <v>200000</v>
      </c>
      <c r="J184" s="68"/>
      <c r="K184" s="2">
        <f t="shared" si="32"/>
        <v>13</v>
      </c>
      <c r="L184" s="2">
        <f t="shared" si="33"/>
        <v>145</v>
      </c>
      <c r="M184" s="3">
        <f>IF(L184&lt;&gt;" ",IF(P183&lt;M183,P183+N184,PMT($O$27,($N$30),-$R183))," ")</f>
        <v>773.3970181413515</v>
      </c>
      <c r="N184" s="3">
        <f t="shared" si="37"/>
        <v>269.727717187897</v>
      </c>
      <c r="O184" s="3">
        <f t="shared" si="34"/>
        <v>503.6693009534545</v>
      </c>
      <c r="P184" s="3">
        <f t="shared" si="35"/>
        <v>137995.80037190762</v>
      </c>
      <c r="Q184" s="32"/>
      <c r="R184" s="32">
        <f>$G$39-SUM($Q$39:$Q184)</f>
        <v>200000</v>
      </c>
    </row>
    <row r="185" spans="1:18" ht="12.75">
      <c r="A185" s="1">
        <f t="shared" si="27"/>
        <v>45474</v>
      </c>
      <c r="B185" s="2">
        <f t="shared" si="28"/>
        <v>13</v>
      </c>
      <c r="C185" s="2">
        <f t="shared" si="29"/>
        <v>146</v>
      </c>
      <c r="D185" s="3">
        <f t="shared" si="38"/>
        <v>816.4823619977051</v>
      </c>
      <c r="E185" s="3">
        <f t="shared" si="36"/>
        <v>317.32628328618426</v>
      </c>
      <c r="F185" s="3">
        <f t="shared" si="30"/>
        <v>499.1560787115208</v>
      </c>
      <c r="G185" s="3">
        <f t="shared" si="31"/>
        <v>137970.49480980524</v>
      </c>
      <c r="H185" s="32"/>
      <c r="I185" s="32">
        <f>$G$39-SUM($H$39:$H185)</f>
        <v>200000</v>
      </c>
      <c r="J185" s="68"/>
      <c r="K185" s="2">
        <f t="shared" si="32"/>
        <v>13</v>
      </c>
      <c r="L185" s="2">
        <f t="shared" si="33"/>
        <v>146</v>
      </c>
      <c r="M185" s="3">
        <f>IF(L185&lt;&gt;" ",IF(P184&lt;M184,P184+N185,PMT($O$27,($N$30),-$R184))," ")</f>
        <v>773.3970181413515</v>
      </c>
      <c r="N185" s="3">
        <f t="shared" si="37"/>
        <v>268.7468212242901</v>
      </c>
      <c r="O185" s="3">
        <f t="shared" si="34"/>
        <v>504.6501969170614</v>
      </c>
      <c r="P185" s="3">
        <f t="shared" si="35"/>
        <v>137491.15017499056</v>
      </c>
      <c r="Q185" s="32"/>
      <c r="R185" s="32">
        <f>$G$39-SUM($Q$39:$Q185)</f>
        <v>200000</v>
      </c>
    </row>
    <row r="186" spans="1:18" ht="12.75">
      <c r="A186" s="1">
        <f t="shared" si="27"/>
        <v>45505</v>
      </c>
      <c r="B186" s="2">
        <f t="shared" si="28"/>
        <v>13</v>
      </c>
      <c r="C186" s="2">
        <f t="shared" si="29"/>
        <v>147</v>
      </c>
      <c r="D186" s="3">
        <f t="shared" si="38"/>
        <v>816.4823619977051</v>
      </c>
      <c r="E186" s="3">
        <f t="shared" si="36"/>
        <v>316.182383939137</v>
      </c>
      <c r="F186" s="3">
        <f t="shared" si="30"/>
        <v>500.29997805856806</v>
      </c>
      <c r="G186" s="3">
        <f t="shared" si="31"/>
        <v>137470.19483174666</v>
      </c>
      <c r="H186" s="32"/>
      <c r="I186" s="32">
        <f>$G$39-SUM($H$39:$H186)</f>
        <v>200000</v>
      </c>
      <c r="J186" s="68"/>
      <c r="K186" s="2">
        <f t="shared" si="32"/>
        <v>13</v>
      </c>
      <c r="L186" s="2">
        <f t="shared" si="33"/>
        <v>147</v>
      </c>
      <c r="M186" s="3">
        <f>IF(L186&lt;&gt;" ",IF(P185&lt;M185,P185+N186,PMT($O$27,($N$30),-$R185))," ")</f>
        <v>773.3970181413515</v>
      </c>
      <c r="N186" s="3">
        <f t="shared" si="37"/>
        <v>267.76401496579416</v>
      </c>
      <c r="O186" s="3">
        <f t="shared" si="34"/>
        <v>505.63300317555735</v>
      </c>
      <c r="P186" s="3">
        <f t="shared" si="35"/>
        <v>136985.517171815</v>
      </c>
      <c r="Q186" s="32"/>
      <c r="R186" s="32">
        <f>$G$39-SUM($Q$39:$Q186)</f>
        <v>200000</v>
      </c>
    </row>
    <row r="187" spans="1:18" ht="12.75">
      <c r="A187" s="1">
        <f t="shared" si="27"/>
        <v>45536</v>
      </c>
      <c r="B187" s="2">
        <f t="shared" si="28"/>
        <v>13</v>
      </c>
      <c r="C187" s="2">
        <f t="shared" si="29"/>
        <v>148</v>
      </c>
      <c r="D187" s="3">
        <f t="shared" si="38"/>
        <v>816.4823619977051</v>
      </c>
      <c r="E187" s="3">
        <f t="shared" si="36"/>
        <v>315.0358631560861</v>
      </c>
      <c r="F187" s="3">
        <f t="shared" si="30"/>
        <v>501.44649884161896</v>
      </c>
      <c r="G187" s="3">
        <f t="shared" si="31"/>
        <v>136968.74833290503</v>
      </c>
      <c r="H187" s="32"/>
      <c r="I187" s="32">
        <f>$G$39-SUM($H$39:$H187)</f>
        <v>200000</v>
      </c>
      <c r="J187" s="68"/>
      <c r="K187" s="2">
        <f t="shared" si="32"/>
        <v>13</v>
      </c>
      <c r="L187" s="2">
        <f t="shared" si="33"/>
        <v>148</v>
      </c>
      <c r="M187" s="3">
        <f>IF(L187&lt;&gt;" ",IF(P186&lt;M186,P186+N187,PMT($O$27,($N$30),-$R186))," ")</f>
        <v>773.3970181413515</v>
      </c>
      <c r="N187" s="3">
        <f t="shared" si="37"/>
        <v>266.7792946921098</v>
      </c>
      <c r="O187" s="3">
        <f t="shared" si="34"/>
        <v>506.61772344924174</v>
      </c>
      <c r="P187" s="3">
        <f t="shared" si="35"/>
        <v>136478.89944836576</v>
      </c>
      <c r="Q187" s="32"/>
      <c r="R187" s="32">
        <f>$G$39-SUM($Q$39:$Q187)</f>
        <v>200000</v>
      </c>
    </row>
    <row r="188" spans="1:18" ht="12.75">
      <c r="A188" s="1">
        <f t="shared" si="27"/>
        <v>45566</v>
      </c>
      <c r="B188" s="2">
        <f t="shared" si="28"/>
        <v>13</v>
      </c>
      <c r="C188" s="2">
        <f t="shared" si="29"/>
        <v>149</v>
      </c>
      <c r="D188" s="3">
        <f t="shared" si="38"/>
        <v>816.4823619977051</v>
      </c>
      <c r="E188" s="3">
        <f t="shared" si="36"/>
        <v>313.88671492957405</v>
      </c>
      <c r="F188" s="3">
        <f t="shared" si="30"/>
        <v>502.59564706813103</v>
      </c>
      <c r="G188" s="3">
        <f t="shared" si="31"/>
        <v>136466.1526858369</v>
      </c>
      <c r="H188" s="32"/>
      <c r="I188" s="32">
        <f>$G$39-SUM($H$39:$H188)</f>
        <v>200000</v>
      </c>
      <c r="J188" s="68"/>
      <c r="K188" s="2">
        <f t="shared" si="32"/>
        <v>13</v>
      </c>
      <c r="L188" s="2">
        <f t="shared" si="33"/>
        <v>149</v>
      </c>
      <c r="M188" s="3">
        <f>IF(L188&lt;&gt;" ",IF(P187&lt;M187,P187+N188,PMT($O$27,($N$30),-$R187))," ")</f>
        <v>773.3970181413515</v>
      </c>
      <c r="N188" s="3">
        <f t="shared" si="37"/>
        <v>265.79265667569234</v>
      </c>
      <c r="O188" s="3">
        <f t="shared" si="34"/>
        <v>507.60436146565917</v>
      </c>
      <c r="P188" s="3">
        <f t="shared" si="35"/>
        <v>135971.2950869001</v>
      </c>
      <c r="Q188" s="32"/>
      <c r="R188" s="32">
        <f>$G$39-SUM($Q$39:$Q188)</f>
        <v>200000</v>
      </c>
    </row>
    <row r="189" spans="1:18" ht="12.75">
      <c r="A189" s="1">
        <f t="shared" si="27"/>
        <v>45597</v>
      </c>
      <c r="B189" s="2">
        <f t="shared" si="28"/>
        <v>13</v>
      </c>
      <c r="C189" s="2">
        <f t="shared" si="29"/>
        <v>150</v>
      </c>
      <c r="D189" s="3">
        <f t="shared" si="38"/>
        <v>816.4823619977051</v>
      </c>
      <c r="E189" s="3">
        <f t="shared" si="36"/>
        <v>312.7349332383762</v>
      </c>
      <c r="F189" s="3">
        <f t="shared" si="30"/>
        <v>503.7474287593289</v>
      </c>
      <c r="G189" s="3">
        <f t="shared" si="31"/>
        <v>135962.40525707757</v>
      </c>
      <c r="H189" s="32"/>
      <c r="I189" s="32">
        <f>$G$39-SUM($H$39:$H189)</f>
        <v>200000</v>
      </c>
      <c r="J189" s="68"/>
      <c r="K189" s="2">
        <f t="shared" si="32"/>
        <v>13</v>
      </c>
      <c r="L189" s="2">
        <f t="shared" si="33"/>
        <v>150</v>
      </c>
      <c r="M189" s="3">
        <f>IF(L189&lt;&gt;" ",IF(P188&lt;M188,P188+N189,PMT($O$27,($N$30),-$R188))," ")</f>
        <v>773.3970181413515</v>
      </c>
      <c r="N189" s="3">
        <f t="shared" si="37"/>
        <v>264.804097181738</v>
      </c>
      <c r="O189" s="3">
        <f t="shared" si="34"/>
        <v>508.59292095961354</v>
      </c>
      <c r="P189" s="3">
        <f t="shared" si="35"/>
        <v>135462.70216594049</v>
      </c>
      <c r="Q189" s="32"/>
      <c r="R189" s="32">
        <f>$G$39-SUM($Q$39:$Q189)</f>
        <v>200000</v>
      </c>
    </row>
    <row r="190" spans="1:18" ht="12.75">
      <c r="A190" s="1">
        <f t="shared" si="27"/>
        <v>45627</v>
      </c>
      <c r="B190" s="2">
        <f t="shared" si="28"/>
        <v>13</v>
      </c>
      <c r="C190" s="2">
        <f t="shared" si="29"/>
        <v>151</v>
      </c>
      <c r="D190" s="3">
        <f t="shared" si="38"/>
        <v>816.4823619977051</v>
      </c>
      <c r="E190" s="3">
        <f t="shared" si="36"/>
        <v>311.5805120474694</v>
      </c>
      <c r="F190" s="3">
        <f t="shared" si="30"/>
        <v>504.90184995023566</v>
      </c>
      <c r="G190" s="3">
        <f t="shared" si="31"/>
        <v>135457.50340712734</v>
      </c>
      <c r="H190" s="32"/>
      <c r="I190" s="32">
        <f>$G$39-SUM($H$39:$H190)</f>
        <v>200000</v>
      </c>
      <c r="J190" s="68"/>
      <c r="K190" s="2">
        <f t="shared" si="32"/>
        <v>13</v>
      </c>
      <c r="L190" s="2">
        <f t="shared" si="33"/>
        <v>151</v>
      </c>
      <c r="M190" s="3">
        <f>IF(L190&lt;&gt;" ",IF(P189&lt;M189,P189+N190,PMT($O$27,($N$30),-$R189))," ")</f>
        <v>773.3970181413515</v>
      </c>
      <c r="N190" s="3">
        <f t="shared" si="37"/>
        <v>263.81361246816914</v>
      </c>
      <c r="O190" s="3">
        <f t="shared" si="34"/>
        <v>509.58340567318237</v>
      </c>
      <c r="P190" s="3">
        <f t="shared" si="35"/>
        <v>134953.1187602673</v>
      </c>
      <c r="Q190" s="32"/>
      <c r="R190" s="32">
        <f>$G$39-SUM($Q$39:$Q190)</f>
        <v>200000</v>
      </c>
    </row>
    <row r="191" spans="1:18" ht="12.75">
      <c r="A191" s="1">
        <f t="shared" si="27"/>
        <v>45658</v>
      </c>
      <c r="B191" s="2">
        <f t="shared" si="28"/>
        <v>13</v>
      </c>
      <c r="C191" s="2">
        <f t="shared" si="29"/>
        <v>152</v>
      </c>
      <c r="D191" s="3">
        <f t="shared" si="38"/>
        <v>816.4823619977051</v>
      </c>
      <c r="E191" s="3">
        <f t="shared" si="36"/>
        <v>310.42344530800017</v>
      </c>
      <c r="F191" s="3">
        <f t="shared" si="30"/>
        <v>506.0589166897049</v>
      </c>
      <c r="G191" s="3">
        <f t="shared" si="31"/>
        <v>134951.44449043763</v>
      </c>
      <c r="H191" s="32"/>
      <c r="I191" s="32">
        <f>$G$39-SUM($H$39:$H191)</f>
        <v>200000</v>
      </c>
      <c r="J191" s="68"/>
      <c r="K191" s="2">
        <f t="shared" si="32"/>
        <v>13</v>
      </c>
      <c r="L191" s="2">
        <f t="shared" si="33"/>
        <v>152</v>
      </c>
      <c r="M191" s="3">
        <f>IF(L191&lt;&gt;" ",IF(P190&lt;M190,P190+N191,PMT($O$27,($N$30),-$R190))," ")</f>
        <v>773.3970181413515</v>
      </c>
      <c r="N191" s="3">
        <f t="shared" si="37"/>
        <v>262.8211987856206</v>
      </c>
      <c r="O191" s="3">
        <f t="shared" si="34"/>
        <v>510.5758193557309</v>
      </c>
      <c r="P191" s="3">
        <f t="shared" si="35"/>
        <v>134442.54294091157</v>
      </c>
      <c r="Q191" s="32"/>
      <c r="R191" s="32">
        <f>$G$39-SUM($Q$39:$Q191)</f>
        <v>200000</v>
      </c>
    </row>
    <row r="192" spans="1:18" ht="12.75">
      <c r="A192" s="1">
        <f t="shared" si="27"/>
        <v>45689</v>
      </c>
      <c r="B192" s="2">
        <f t="shared" si="28"/>
        <v>13</v>
      </c>
      <c r="C192" s="2">
        <f t="shared" si="29"/>
        <v>153</v>
      </c>
      <c r="D192" s="3">
        <f t="shared" si="38"/>
        <v>816.4823619977051</v>
      </c>
      <c r="E192" s="3">
        <f t="shared" si="36"/>
        <v>309.2637269572529</v>
      </c>
      <c r="F192" s="3">
        <f t="shared" si="30"/>
        <v>507.21863504045217</v>
      </c>
      <c r="G192" s="3">
        <f t="shared" si="31"/>
        <v>134444.22585539718</v>
      </c>
      <c r="H192" s="32"/>
      <c r="I192" s="32">
        <f>$G$39-SUM($H$39:$H192)</f>
        <v>200000</v>
      </c>
      <c r="J192" s="68"/>
      <c r="K192" s="2">
        <f t="shared" si="32"/>
        <v>13</v>
      </c>
      <c r="L192" s="2">
        <f t="shared" si="33"/>
        <v>153</v>
      </c>
      <c r="M192" s="3">
        <f>IF(L192&lt;&gt;" ",IF(P191&lt;M191,P191+N192,PMT($O$27,($N$30),-$R191))," ")</f>
        <v>773.3970181413515</v>
      </c>
      <c r="N192" s="3">
        <f t="shared" si="37"/>
        <v>261.8268523774253</v>
      </c>
      <c r="O192" s="3">
        <f t="shared" si="34"/>
        <v>511.5701657639262</v>
      </c>
      <c r="P192" s="3">
        <f t="shared" si="35"/>
        <v>133930.97277514765</v>
      </c>
      <c r="Q192" s="32"/>
      <c r="R192" s="32">
        <f>$G$39-SUM($Q$39:$Q192)</f>
        <v>200000</v>
      </c>
    </row>
    <row r="193" spans="1:18" ht="12.75">
      <c r="A193" s="1">
        <f t="shared" si="27"/>
        <v>45717</v>
      </c>
      <c r="B193" s="2">
        <f t="shared" si="28"/>
        <v>13</v>
      </c>
      <c r="C193" s="2">
        <f t="shared" si="29"/>
        <v>154</v>
      </c>
      <c r="D193" s="3">
        <f t="shared" si="38"/>
        <v>816.4823619977051</v>
      </c>
      <c r="E193" s="3">
        <f t="shared" si="36"/>
        <v>308.10135091861855</v>
      </c>
      <c r="F193" s="3">
        <f t="shared" si="30"/>
        <v>508.38101107908653</v>
      </c>
      <c r="G193" s="3">
        <f t="shared" si="31"/>
        <v>133935.84484431808</v>
      </c>
      <c r="H193" s="32"/>
      <c r="I193" s="32">
        <f>$G$39-SUM($H$39:$H193)</f>
        <v>200000</v>
      </c>
      <c r="J193" s="68"/>
      <c r="K193" s="2">
        <f t="shared" si="32"/>
        <v>13</v>
      </c>
      <c r="L193" s="2">
        <f t="shared" si="33"/>
        <v>154</v>
      </c>
      <c r="M193" s="3">
        <f>IF(L193&lt;&gt;" ",IF(P192&lt;M192,P192+N193,PMT($O$27,($N$30),-$R192))," ")</f>
        <v>773.3970181413515</v>
      </c>
      <c r="N193" s="3">
        <f t="shared" si="37"/>
        <v>260.83056947960006</v>
      </c>
      <c r="O193" s="3">
        <f t="shared" si="34"/>
        <v>512.5664486617515</v>
      </c>
      <c r="P193" s="3">
        <f t="shared" si="35"/>
        <v>133418.40632648589</v>
      </c>
      <c r="Q193" s="32"/>
      <c r="R193" s="32">
        <f>$G$39-SUM($Q$39:$Q193)</f>
        <v>200000</v>
      </c>
    </row>
    <row r="194" spans="1:18" ht="12.75">
      <c r="A194" s="1">
        <f t="shared" si="27"/>
        <v>45748</v>
      </c>
      <c r="B194" s="2">
        <f t="shared" si="28"/>
        <v>13</v>
      </c>
      <c r="C194" s="2">
        <f t="shared" si="29"/>
        <v>155</v>
      </c>
      <c r="D194" s="3">
        <f t="shared" si="38"/>
        <v>816.4823619977051</v>
      </c>
      <c r="E194" s="3">
        <f t="shared" si="36"/>
        <v>306.9363111015623</v>
      </c>
      <c r="F194" s="3">
        <f t="shared" si="30"/>
        <v>509.5460508961428</v>
      </c>
      <c r="G194" s="3">
        <f t="shared" si="31"/>
        <v>133426.29879342194</v>
      </c>
      <c r="H194" s="32"/>
      <c r="I194" s="32">
        <f>$G$39-SUM($H$39:$H194)</f>
        <v>200000</v>
      </c>
      <c r="J194" s="68"/>
      <c r="K194" s="2">
        <f t="shared" si="32"/>
        <v>13</v>
      </c>
      <c r="L194" s="2">
        <f t="shared" si="33"/>
        <v>155</v>
      </c>
      <c r="M194" s="3">
        <f>IF(L194&lt;&gt;" ",IF(P193&lt;M193,P193+N194,PMT($O$27,($N$30),-$R193))," ")</f>
        <v>773.3970181413515</v>
      </c>
      <c r="N194" s="3">
        <f t="shared" si="37"/>
        <v>259.8323463208313</v>
      </c>
      <c r="O194" s="3">
        <f t="shared" si="34"/>
        <v>513.5646718205203</v>
      </c>
      <c r="P194" s="3">
        <f t="shared" si="35"/>
        <v>132904.84165466536</v>
      </c>
      <c r="Q194" s="32"/>
      <c r="R194" s="32">
        <f>$G$39-SUM($Q$39:$Q194)</f>
        <v>200000</v>
      </c>
    </row>
    <row r="195" spans="1:18" ht="12.75">
      <c r="A195" s="1">
        <f t="shared" si="27"/>
        <v>45778</v>
      </c>
      <c r="B195" s="2">
        <f t="shared" si="28"/>
        <v>13</v>
      </c>
      <c r="C195" s="2">
        <f t="shared" si="29"/>
        <v>156</v>
      </c>
      <c r="D195" s="3">
        <f t="shared" si="38"/>
        <v>816.4823619977051</v>
      </c>
      <c r="E195" s="3">
        <f t="shared" si="36"/>
        <v>305.768601401592</v>
      </c>
      <c r="F195" s="3">
        <f t="shared" si="30"/>
        <v>510.7137605961131</v>
      </c>
      <c r="G195" s="3">
        <f t="shared" si="31"/>
        <v>132915.58503282582</v>
      </c>
      <c r="H195" s="32"/>
      <c r="I195" s="32">
        <f>$G$39-SUM($H$39:$H195)</f>
        <v>200000</v>
      </c>
      <c r="J195" s="68"/>
      <c r="K195" s="2">
        <f t="shared" si="32"/>
        <v>13</v>
      </c>
      <c r="L195" s="2">
        <f t="shared" si="33"/>
        <v>156</v>
      </c>
      <c r="M195" s="3">
        <f>IF(L195&lt;&gt;" ",IF(P194&lt;M194,P194+N195,PMT($O$27,($N$30),-$R194))," ")</f>
        <v>773.3970181413515</v>
      </c>
      <c r="N195" s="3">
        <f t="shared" si="37"/>
        <v>258.83217912246084</v>
      </c>
      <c r="O195" s="3">
        <f t="shared" si="34"/>
        <v>514.5648390188907</v>
      </c>
      <c r="P195" s="3">
        <f t="shared" si="35"/>
        <v>132390.27681564647</v>
      </c>
      <c r="Q195" s="32"/>
      <c r="R195" s="32">
        <f>$G$39-SUM($Q$39:$Q195)</f>
        <v>200000</v>
      </c>
    </row>
    <row r="196" spans="1:18" ht="12.75">
      <c r="A196" s="1">
        <f t="shared" si="27"/>
        <v>45809</v>
      </c>
      <c r="B196" s="2">
        <f t="shared" si="28"/>
        <v>14</v>
      </c>
      <c r="C196" s="2">
        <f t="shared" si="29"/>
        <v>157</v>
      </c>
      <c r="D196" s="3">
        <f t="shared" si="38"/>
        <v>816.4823619977051</v>
      </c>
      <c r="E196" s="3">
        <f t="shared" si="36"/>
        <v>304.59821570022586</v>
      </c>
      <c r="F196" s="3">
        <f t="shared" si="30"/>
        <v>511.8841462974792</v>
      </c>
      <c r="G196" s="3">
        <f t="shared" si="31"/>
        <v>132403.70088652836</v>
      </c>
      <c r="H196" s="32"/>
      <c r="I196" s="32">
        <f>$G$39-SUM($H$39:$H196)</f>
        <v>200000</v>
      </c>
      <c r="J196" s="68"/>
      <c r="K196" s="2">
        <f t="shared" si="32"/>
        <v>14</v>
      </c>
      <c r="L196" s="2">
        <f t="shared" si="33"/>
        <v>157</v>
      </c>
      <c r="M196" s="3">
        <f>IF(L196&lt;&gt;" ",IF(P195&lt;M195,P195+N196,PMT($O$27,($N$30),-$R195))," ")</f>
        <v>773.3970181413515</v>
      </c>
      <c r="N196" s="3">
        <f t="shared" si="37"/>
        <v>257.83006409847155</v>
      </c>
      <c r="O196" s="3">
        <f t="shared" si="34"/>
        <v>515.56695404288</v>
      </c>
      <c r="P196" s="3">
        <f t="shared" si="35"/>
        <v>131874.7098616036</v>
      </c>
      <c r="Q196" s="32"/>
      <c r="R196" s="32">
        <f>$G$39-SUM($Q$39:$Q196)</f>
        <v>200000</v>
      </c>
    </row>
    <row r="197" spans="1:18" ht="12.75">
      <c r="A197" s="1">
        <f t="shared" si="27"/>
        <v>45839</v>
      </c>
      <c r="B197" s="2">
        <f t="shared" si="28"/>
        <v>14</v>
      </c>
      <c r="C197" s="2">
        <f t="shared" si="29"/>
        <v>158</v>
      </c>
      <c r="D197" s="3">
        <f t="shared" si="38"/>
        <v>816.4823619977051</v>
      </c>
      <c r="E197" s="3">
        <f t="shared" si="36"/>
        <v>303.4251478649608</v>
      </c>
      <c r="F197" s="3">
        <f t="shared" si="30"/>
        <v>513.0572141327443</v>
      </c>
      <c r="G197" s="3">
        <f t="shared" si="31"/>
        <v>131890.6436723956</v>
      </c>
      <c r="H197" s="32"/>
      <c r="I197" s="32">
        <f>$G$39-SUM($H$39:$H197)</f>
        <v>200000</v>
      </c>
      <c r="J197" s="68"/>
      <c r="K197" s="2">
        <f t="shared" si="32"/>
        <v>14</v>
      </c>
      <c r="L197" s="2">
        <f t="shared" si="33"/>
        <v>158</v>
      </c>
      <c r="M197" s="3">
        <f>IF(L197&lt;&gt;" ",IF(P196&lt;M196,P196+N197,PMT($O$27,($N$30),-$R196))," ")</f>
        <v>773.3970181413515</v>
      </c>
      <c r="N197" s="3">
        <f t="shared" si="37"/>
        <v>256.82599745547304</v>
      </c>
      <c r="O197" s="3">
        <f t="shared" si="34"/>
        <v>516.5710206858785</v>
      </c>
      <c r="P197" s="3">
        <f t="shared" si="35"/>
        <v>131358.13884091773</v>
      </c>
      <c r="Q197" s="32"/>
      <c r="R197" s="32">
        <f>$G$39-SUM($Q$39:$Q197)</f>
        <v>200000</v>
      </c>
    </row>
    <row r="198" spans="1:18" ht="12.75">
      <c r="A198" s="1">
        <f t="shared" si="27"/>
        <v>45870</v>
      </c>
      <c r="B198" s="2">
        <f t="shared" si="28"/>
        <v>14</v>
      </c>
      <c r="C198" s="2">
        <f t="shared" si="29"/>
        <v>159</v>
      </c>
      <c r="D198" s="3">
        <f t="shared" si="38"/>
        <v>816.4823619977051</v>
      </c>
      <c r="E198" s="3">
        <f t="shared" si="36"/>
        <v>302.24939174924</v>
      </c>
      <c r="F198" s="3">
        <f t="shared" si="30"/>
        <v>514.2329702484651</v>
      </c>
      <c r="G198" s="3">
        <f t="shared" si="31"/>
        <v>131376.41070214714</v>
      </c>
      <c r="H198" s="32"/>
      <c r="I198" s="32">
        <f>$G$39-SUM($H$39:$H198)</f>
        <v>200000</v>
      </c>
      <c r="J198" s="68"/>
      <c r="K198" s="2">
        <f t="shared" si="32"/>
        <v>14</v>
      </c>
      <c r="L198" s="2">
        <f t="shared" si="33"/>
        <v>159</v>
      </c>
      <c r="M198" s="3">
        <f>IF(L198&lt;&gt;" ",IF(P197&lt;M197,P197+N198,PMT($O$27,($N$30),-$R197))," ")</f>
        <v>773.3970181413515</v>
      </c>
      <c r="N198" s="3">
        <f t="shared" si="37"/>
        <v>255.8199753926873</v>
      </c>
      <c r="O198" s="3">
        <f t="shared" si="34"/>
        <v>517.5770427486642</v>
      </c>
      <c r="P198" s="3">
        <f t="shared" si="35"/>
        <v>130840.56179816906</v>
      </c>
      <c r="Q198" s="32"/>
      <c r="R198" s="32">
        <f>$G$39-SUM($Q$39:$Q198)</f>
        <v>200000</v>
      </c>
    </row>
    <row r="199" spans="1:18" ht="12.75">
      <c r="A199" s="1">
        <f t="shared" si="27"/>
        <v>45901</v>
      </c>
      <c r="B199" s="2">
        <f t="shared" si="28"/>
        <v>14</v>
      </c>
      <c r="C199" s="2">
        <f t="shared" si="29"/>
        <v>160</v>
      </c>
      <c r="D199" s="3">
        <f t="shared" si="38"/>
        <v>816.4823619977051</v>
      </c>
      <c r="E199" s="3">
        <f t="shared" si="36"/>
        <v>301.07094119242055</v>
      </c>
      <c r="F199" s="3">
        <f t="shared" si="30"/>
        <v>515.4114208052845</v>
      </c>
      <c r="G199" s="3">
        <f t="shared" si="31"/>
        <v>130860.99928134186</v>
      </c>
      <c r="H199" s="32"/>
      <c r="I199" s="32">
        <f>$G$39-SUM($H$39:$H199)</f>
        <v>200000</v>
      </c>
      <c r="J199" s="68"/>
      <c r="K199" s="2">
        <f t="shared" si="32"/>
        <v>14</v>
      </c>
      <c r="L199" s="2">
        <f t="shared" si="33"/>
        <v>160</v>
      </c>
      <c r="M199" s="3">
        <f>IF(L199&lt;&gt;" ",IF(P198&lt;M198,P198+N199,PMT($O$27,($N$30),-$R198))," ")</f>
        <v>773.3970181413515</v>
      </c>
      <c r="N199" s="3">
        <f t="shared" si="37"/>
        <v>254.81199410193426</v>
      </c>
      <c r="O199" s="3">
        <f t="shared" si="34"/>
        <v>518.5850240394172</v>
      </c>
      <c r="P199" s="3">
        <f t="shared" si="35"/>
        <v>130321.97677412964</v>
      </c>
      <c r="Q199" s="32"/>
      <c r="R199" s="32">
        <f>$G$39-SUM($Q$39:$Q199)</f>
        <v>200000</v>
      </c>
    </row>
    <row r="200" spans="1:18" ht="12.75">
      <c r="A200" s="1">
        <f t="shared" si="27"/>
        <v>45931</v>
      </c>
      <c r="B200" s="2">
        <f t="shared" si="28"/>
        <v>14</v>
      </c>
      <c r="C200" s="2">
        <f t="shared" si="29"/>
        <v>161</v>
      </c>
      <c r="D200" s="3">
        <f t="shared" si="38"/>
        <v>816.4823619977051</v>
      </c>
      <c r="E200" s="3">
        <f t="shared" si="36"/>
        <v>299.8897900197418</v>
      </c>
      <c r="F200" s="3">
        <f t="shared" si="30"/>
        <v>516.5925719779633</v>
      </c>
      <c r="G200" s="3">
        <f t="shared" si="31"/>
        <v>130344.4067093639</v>
      </c>
      <c r="H200" s="32"/>
      <c r="I200" s="32">
        <f>$G$39-SUM($H$39:$H200)</f>
        <v>200000</v>
      </c>
      <c r="J200" s="68"/>
      <c r="K200" s="2">
        <f t="shared" si="32"/>
        <v>14</v>
      </c>
      <c r="L200" s="2">
        <f t="shared" si="33"/>
        <v>161</v>
      </c>
      <c r="M200" s="3">
        <f>IF(L200&lt;&gt;" ",IF(P199&lt;M199,P199+N200,PMT($O$27,($N$30),-$R199))," ")</f>
        <v>773.3970181413515</v>
      </c>
      <c r="N200" s="3">
        <f t="shared" si="37"/>
        <v>253.8020497676175</v>
      </c>
      <c r="O200" s="3">
        <f t="shared" si="34"/>
        <v>519.594968373734</v>
      </c>
      <c r="P200" s="3">
        <f t="shared" si="35"/>
        <v>129802.38180575591</v>
      </c>
      <c r="Q200" s="32"/>
      <c r="R200" s="32">
        <f>$G$39-SUM($Q$39:$Q200)</f>
        <v>200000</v>
      </c>
    </row>
    <row r="201" spans="1:18" ht="12.75">
      <c r="A201" s="1">
        <f t="shared" si="27"/>
        <v>45962</v>
      </c>
      <c r="B201" s="2">
        <f t="shared" si="28"/>
        <v>14</v>
      </c>
      <c r="C201" s="2">
        <f t="shared" si="29"/>
        <v>162</v>
      </c>
      <c r="D201" s="3">
        <f t="shared" si="38"/>
        <v>816.4823619977051</v>
      </c>
      <c r="E201" s="3">
        <f t="shared" si="36"/>
        <v>298.70593204229226</v>
      </c>
      <c r="F201" s="3">
        <f t="shared" si="30"/>
        <v>517.7764299554128</v>
      </c>
      <c r="G201" s="3">
        <f t="shared" si="31"/>
        <v>129826.63027940849</v>
      </c>
      <c r="H201" s="32"/>
      <c r="I201" s="32">
        <f>$G$39-SUM($H$39:$H201)</f>
        <v>200000</v>
      </c>
      <c r="J201" s="68"/>
      <c r="K201" s="2">
        <f t="shared" si="32"/>
        <v>14</v>
      </c>
      <c r="L201" s="2">
        <f t="shared" si="33"/>
        <v>162</v>
      </c>
      <c r="M201" s="3">
        <f>IF(L201&lt;&gt;" ",IF(P200&lt;M200,P200+N201,PMT($O$27,($N$30),-$R200))," ")</f>
        <v>773.3970181413515</v>
      </c>
      <c r="N201" s="3">
        <f t="shared" si="37"/>
        <v>252.79013856670966</v>
      </c>
      <c r="O201" s="3">
        <f t="shared" si="34"/>
        <v>520.6068795746419</v>
      </c>
      <c r="P201" s="3">
        <f t="shared" si="35"/>
        <v>129281.77492618127</v>
      </c>
      <c r="Q201" s="32"/>
      <c r="R201" s="32">
        <f>$G$39-SUM($Q$39:$Q201)</f>
        <v>200000</v>
      </c>
    </row>
    <row r="202" spans="1:18" ht="12.75">
      <c r="A202" s="1">
        <f t="shared" si="27"/>
        <v>45992</v>
      </c>
      <c r="B202" s="2">
        <f t="shared" si="28"/>
        <v>14</v>
      </c>
      <c r="C202" s="2">
        <f t="shared" si="29"/>
        <v>163</v>
      </c>
      <c r="D202" s="3">
        <f t="shared" si="38"/>
        <v>816.4823619977051</v>
      </c>
      <c r="E202" s="3">
        <f t="shared" si="36"/>
        <v>297.5193610569778</v>
      </c>
      <c r="F202" s="3">
        <f t="shared" si="30"/>
        <v>518.9630009407273</v>
      </c>
      <c r="G202" s="3">
        <f t="shared" si="31"/>
        <v>129307.66727846776</v>
      </c>
      <c r="H202" s="32"/>
      <c r="I202" s="32">
        <f>$G$39-SUM($H$39:$H202)</f>
        <v>200000</v>
      </c>
      <c r="J202" s="68"/>
      <c r="K202" s="2">
        <f t="shared" si="32"/>
        <v>14</v>
      </c>
      <c r="L202" s="2">
        <f t="shared" si="33"/>
        <v>163</v>
      </c>
      <c r="M202" s="3">
        <f>IF(L202&lt;&gt;" ",IF(P201&lt;M201,P201+N202,PMT($O$27,($N$30),-$R201))," ")</f>
        <v>773.3970181413515</v>
      </c>
      <c r="N202" s="3">
        <f t="shared" si="37"/>
        <v>251.77625666873806</v>
      </c>
      <c r="O202" s="3">
        <f t="shared" si="34"/>
        <v>521.6207614726135</v>
      </c>
      <c r="P202" s="3">
        <f t="shared" si="35"/>
        <v>128760.15416470866</v>
      </c>
      <c r="Q202" s="32"/>
      <c r="R202" s="32">
        <f>$G$39-SUM($Q$39:$Q202)</f>
        <v>200000</v>
      </c>
    </row>
    <row r="203" spans="1:18" ht="12.75">
      <c r="A203" s="1">
        <f t="shared" si="27"/>
        <v>46023</v>
      </c>
      <c r="B203" s="2">
        <f t="shared" si="28"/>
        <v>14</v>
      </c>
      <c r="C203" s="2">
        <f t="shared" si="29"/>
        <v>164</v>
      </c>
      <c r="D203" s="3">
        <f t="shared" si="38"/>
        <v>816.4823619977051</v>
      </c>
      <c r="E203" s="3">
        <f t="shared" si="36"/>
        <v>296.33007084648864</v>
      </c>
      <c r="F203" s="3">
        <f t="shared" si="30"/>
        <v>520.1522911512164</v>
      </c>
      <c r="G203" s="3">
        <f t="shared" si="31"/>
        <v>128787.51498731655</v>
      </c>
      <c r="H203" s="32"/>
      <c r="I203" s="32">
        <f>$G$39-SUM($H$39:$H203)</f>
        <v>200000</v>
      </c>
      <c r="J203" s="68"/>
      <c r="K203" s="2">
        <f t="shared" si="32"/>
        <v>14</v>
      </c>
      <c r="L203" s="2">
        <f t="shared" si="33"/>
        <v>164</v>
      </c>
      <c r="M203" s="3">
        <f>IF(L203&lt;&gt;" ",IF(P202&lt;M202,P202+N203,PMT($O$27,($N$30),-$R202))," ")</f>
        <v>773.3970181413515</v>
      </c>
      <c r="N203" s="3">
        <f t="shared" si="37"/>
        <v>250.76040023577013</v>
      </c>
      <c r="O203" s="3">
        <f t="shared" si="34"/>
        <v>522.6366179055814</v>
      </c>
      <c r="P203" s="3">
        <f t="shared" si="35"/>
        <v>128237.51754680308</v>
      </c>
      <c r="Q203" s="32"/>
      <c r="R203" s="32">
        <f>$G$39-SUM($Q$39:$Q203)</f>
        <v>200000</v>
      </c>
    </row>
    <row r="204" spans="1:18" ht="12.75">
      <c r="A204" s="1">
        <f t="shared" si="27"/>
        <v>46054</v>
      </c>
      <c r="B204" s="2">
        <f t="shared" si="28"/>
        <v>14</v>
      </c>
      <c r="C204" s="2">
        <f t="shared" si="29"/>
        <v>165</v>
      </c>
      <c r="D204" s="3">
        <f t="shared" si="38"/>
        <v>816.4823619977051</v>
      </c>
      <c r="E204" s="3">
        <f t="shared" si="36"/>
        <v>295.1380551792671</v>
      </c>
      <c r="F204" s="3">
        <f t="shared" si="30"/>
        <v>521.344306818438</v>
      </c>
      <c r="G204" s="3">
        <f t="shared" si="31"/>
        <v>128266.17068049811</v>
      </c>
      <c r="H204" s="32"/>
      <c r="I204" s="32">
        <f>$G$39-SUM($H$39:$H204)</f>
        <v>200000</v>
      </c>
      <c r="J204" s="68"/>
      <c r="K204" s="2">
        <f t="shared" si="32"/>
        <v>14</v>
      </c>
      <c r="L204" s="2">
        <f t="shared" si="33"/>
        <v>165</v>
      </c>
      <c r="M204" s="3">
        <f>IF(L204&lt;&gt;" ",IF(P203&lt;M203,P203+N204,PMT($O$27,($N$30),-$R203))," ")</f>
        <v>773.3970181413515</v>
      </c>
      <c r="N204" s="3">
        <f t="shared" si="37"/>
        <v>249.74256542239903</v>
      </c>
      <c r="O204" s="3">
        <f t="shared" si="34"/>
        <v>523.6544527189525</v>
      </c>
      <c r="P204" s="3">
        <f t="shared" si="35"/>
        <v>127713.86309408412</v>
      </c>
      <c r="Q204" s="32"/>
      <c r="R204" s="32">
        <f>$G$39-SUM($Q$39:$Q204)</f>
        <v>200000</v>
      </c>
    </row>
    <row r="205" spans="1:18" ht="12.75">
      <c r="A205" s="1">
        <f t="shared" si="27"/>
        <v>46082</v>
      </c>
      <c r="B205" s="2">
        <f t="shared" si="28"/>
        <v>14</v>
      </c>
      <c r="C205" s="2">
        <f t="shared" si="29"/>
        <v>166</v>
      </c>
      <c r="D205" s="3">
        <f t="shared" si="38"/>
        <v>816.4823619977051</v>
      </c>
      <c r="E205" s="3">
        <f t="shared" si="36"/>
        <v>293.94330780947485</v>
      </c>
      <c r="F205" s="3">
        <f t="shared" si="30"/>
        <v>522.5390541882302</v>
      </c>
      <c r="G205" s="3">
        <f t="shared" si="31"/>
        <v>127743.63162630987</v>
      </c>
      <c r="H205" s="32"/>
      <c r="I205" s="32">
        <f>$G$39-SUM($H$39:$H205)</f>
        <v>200000</v>
      </c>
      <c r="J205" s="68"/>
      <c r="K205" s="2">
        <f t="shared" si="32"/>
        <v>14</v>
      </c>
      <c r="L205" s="2">
        <f t="shared" si="33"/>
        <v>166</v>
      </c>
      <c r="M205" s="3">
        <f>IF(L205&lt;&gt;" ",IF(P204&lt;M204,P204+N205,PMT($O$27,($N$30),-$R204))," ")</f>
        <v>773.3970181413515</v>
      </c>
      <c r="N205" s="3">
        <f t="shared" si="37"/>
        <v>248.72274837572886</v>
      </c>
      <c r="O205" s="3">
        <f t="shared" si="34"/>
        <v>524.6742697656226</v>
      </c>
      <c r="P205" s="3">
        <f t="shared" si="35"/>
        <v>127189.18882431851</v>
      </c>
      <c r="Q205" s="32"/>
      <c r="R205" s="32">
        <f>$G$39-SUM($Q$39:$Q205)</f>
        <v>200000</v>
      </c>
    </row>
    <row r="206" spans="1:18" ht="12.75">
      <c r="A206" s="1">
        <f t="shared" si="27"/>
        <v>46113</v>
      </c>
      <c r="B206" s="2">
        <f t="shared" si="28"/>
        <v>14</v>
      </c>
      <c r="C206" s="2">
        <f t="shared" si="29"/>
        <v>167</v>
      </c>
      <c r="D206" s="3">
        <f t="shared" si="38"/>
        <v>816.4823619977051</v>
      </c>
      <c r="E206" s="3">
        <f t="shared" si="36"/>
        <v>292.74582247696014</v>
      </c>
      <c r="F206" s="3">
        <f t="shared" si="30"/>
        <v>523.7365395207449</v>
      </c>
      <c r="G206" s="3">
        <f t="shared" si="31"/>
        <v>127219.89508678913</v>
      </c>
      <c r="H206" s="32"/>
      <c r="I206" s="32">
        <f>$G$39-SUM($H$39:$H206)</f>
        <v>200000</v>
      </c>
      <c r="J206" s="68"/>
      <c r="K206" s="2">
        <f t="shared" si="32"/>
        <v>14</v>
      </c>
      <c r="L206" s="2">
        <f t="shared" si="33"/>
        <v>167</v>
      </c>
      <c r="M206" s="3">
        <f>IF(L206&lt;&gt;" ",IF(P205&lt;M205,P205+N206,PMT($O$27,($N$30),-$R205))," ")</f>
        <v>773.3970181413515</v>
      </c>
      <c r="N206" s="3">
        <f t="shared" si="37"/>
        <v>247.70094523536034</v>
      </c>
      <c r="O206" s="3">
        <f t="shared" si="34"/>
        <v>525.6960729059912</v>
      </c>
      <c r="P206" s="3">
        <f t="shared" si="35"/>
        <v>126663.49275141252</v>
      </c>
      <c r="Q206" s="32"/>
      <c r="R206" s="32">
        <f>$G$39-SUM($Q$39:$Q206)</f>
        <v>200000</v>
      </c>
    </row>
    <row r="207" spans="1:18" ht="12.75">
      <c r="A207" s="1">
        <f t="shared" si="27"/>
        <v>46143</v>
      </c>
      <c r="B207" s="2">
        <f t="shared" si="28"/>
        <v>14</v>
      </c>
      <c r="C207" s="2">
        <f t="shared" si="29"/>
        <v>168</v>
      </c>
      <c r="D207" s="3">
        <f t="shared" si="38"/>
        <v>816.4823619977051</v>
      </c>
      <c r="E207" s="3">
        <f t="shared" si="36"/>
        <v>291.54559290722506</v>
      </c>
      <c r="F207" s="3">
        <f t="shared" si="30"/>
        <v>524.9367690904801</v>
      </c>
      <c r="G207" s="3">
        <f t="shared" si="31"/>
        <v>126694.95831769865</v>
      </c>
      <c r="H207" s="32"/>
      <c r="I207" s="32">
        <f>$G$39-SUM($H$39:$H207)</f>
        <v>200000</v>
      </c>
      <c r="J207" s="68"/>
      <c r="K207" s="2">
        <f t="shared" si="32"/>
        <v>14</v>
      </c>
      <c r="L207" s="2">
        <f t="shared" si="33"/>
        <v>168</v>
      </c>
      <c r="M207" s="3">
        <f>IF(L207&lt;&gt;" ",IF(P206&lt;M206,P206+N207,PMT($O$27,($N$30),-$R206))," ")</f>
        <v>773.3970181413515</v>
      </c>
      <c r="N207" s="3">
        <f t="shared" si="37"/>
        <v>246.6771521333759</v>
      </c>
      <c r="O207" s="3">
        <f t="shared" si="34"/>
        <v>526.7198660079756</v>
      </c>
      <c r="P207" s="3">
        <f t="shared" si="35"/>
        <v>126136.77288540454</v>
      </c>
      <c r="Q207" s="32"/>
      <c r="R207" s="32">
        <f>$G$39-SUM($Q$39:$Q207)</f>
        <v>200000</v>
      </c>
    </row>
    <row r="208" spans="1:18" ht="12.75">
      <c r="A208" s="1">
        <f t="shared" si="27"/>
        <v>46174</v>
      </c>
      <c r="B208" s="2">
        <f t="shared" si="28"/>
        <v>15</v>
      </c>
      <c r="C208" s="2">
        <f t="shared" si="29"/>
        <v>169</v>
      </c>
      <c r="D208" s="3">
        <f t="shared" si="38"/>
        <v>816.4823619977051</v>
      </c>
      <c r="E208" s="3">
        <f t="shared" si="36"/>
        <v>290.3426128113927</v>
      </c>
      <c r="F208" s="3">
        <f t="shared" si="30"/>
        <v>526.1397491863124</v>
      </c>
      <c r="G208" s="3">
        <f t="shared" si="31"/>
        <v>126168.81856851233</v>
      </c>
      <c r="H208" s="32"/>
      <c r="I208" s="32">
        <f>$G$39-SUM($H$39:$H208)</f>
        <v>200000</v>
      </c>
      <c r="J208" s="68"/>
      <c r="K208" s="2">
        <f t="shared" si="32"/>
        <v>15</v>
      </c>
      <c r="L208" s="2">
        <f t="shared" si="33"/>
        <v>169</v>
      </c>
      <c r="M208" s="3">
        <f>IF(L208&lt;&gt;" ",IF(P207&lt;M207,P207+N208,PMT($O$27,($N$30),-$R207))," ")</f>
        <v>773.3970181413515</v>
      </c>
      <c r="N208" s="3">
        <f t="shared" si="37"/>
        <v>245.65136519432536</v>
      </c>
      <c r="O208" s="3">
        <f t="shared" si="34"/>
        <v>527.7456529470262</v>
      </c>
      <c r="P208" s="3">
        <f t="shared" si="35"/>
        <v>125609.02723245752</v>
      </c>
      <c r="Q208" s="32"/>
      <c r="R208" s="32">
        <f>$G$39-SUM($Q$39:$Q208)</f>
        <v>200000</v>
      </c>
    </row>
    <row r="209" spans="1:18" ht="12.75">
      <c r="A209" s="1">
        <f t="shared" si="27"/>
        <v>46204</v>
      </c>
      <c r="B209" s="2">
        <f t="shared" si="28"/>
        <v>15</v>
      </c>
      <c r="C209" s="2">
        <f t="shared" si="29"/>
        <v>170</v>
      </c>
      <c r="D209" s="3">
        <f t="shared" si="38"/>
        <v>816.4823619977051</v>
      </c>
      <c r="E209" s="3">
        <f t="shared" si="36"/>
        <v>289.1368758861741</v>
      </c>
      <c r="F209" s="3">
        <f t="shared" si="30"/>
        <v>527.345486111531</v>
      </c>
      <c r="G209" s="3">
        <f t="shared" si="31"/>
        <v>125641.4730824008</v>
      </c>
      <c r="H209" s="32"/>
      <c r="I209" s="32">
        <f>$G$39-SUM($H$39:$H209)</f>
        <v>200000</v>
      </c>
      <c r="J209" s="68"/>
      <c r="K209" s="2">
        <f t="shared" si="32"/>
        <v>15</v>
      </c>
      <c r="L209" s="2">
        <f t="shared" si="33"/>
        <v>170</v>
      </c>
      <c r="M209" s="3">
        <f>IF(L209&lt;&gt;" ",IF(P208&lt;M208,P208+N209,PMT($O$27,($N$30),-$R208))," ")</f>
        <v>773.3970181413515</v>
      </c>
      <c r="N209" s="3">
        <f t="shared" si="37"/>
        <v>244.62358053521106</v>
      </c>
      <c r="O209" s="3">
        <f t="shared" si="34"/>
        <v>528.7734376061404</v>
      </c>
      <c r="P209" s="3">
        <f t="shared" si="35"/>
        <v>125080.25379485138</v>
      </c>
      <c r="Q209" s="32"/>
      <c r="R209" s="32">
        <f>$G$39-SUM($Q$39:$Q209)</f>
        <v>200000</v>
      </c>
    </row>
    <row r="210" spans="1:18" ht="12.75">
      <c r="A210" s="1">
        <f t="shared" si="27"/>
        <v>46235</v>
      </c>
      <c r="B210" s="2">
        <f t="shared" si="28"/>
        <v>15</v>
      </c>
      <c r="C210" s="2">
        <f t="shared" si="29"/>
        <v>171</v>
      </c>
      <c r="D210" s="3">
        <f t="shared" si="38"/>
        <v>816.4823619977051</v>
      </c>
      <c r="E210" s="3">
        <f t="shared" si="36"/>
        <v>287.92837581383515</v>
      </c>
      <c r="F210" s="3">
        <f t="shared" si="30"/>
        <v>528.5539861838699</v>
      </c>
      <c r="G210" s="3">
        <f t="shared" si="31"/>
        <v>125112.91909621692</v>
      </c>
      <c r="H210" s="32"/>
      <c r="I210" s="32">
        <f>$G$39-SUM($H$39:$H210)</f>
        <v>200000</v>
      </c>
      <c r="J210" s="68"/>
      <c r="K210" s="2">
        <f t="shared" si="32"/>
        <v>15</v>
      </c>
      <c r="L210" s="2">
        <f t="shared" si="33"/>
        <v>171</v>
      </c>
      <c r="M210" s="3">
        <f>IF(L210&lt;&gt;" ",IF(P209&lt;M209,P209+N210,PMT($O$27,($N$30),-$R209))," ")</f>
        <v>773.3970181413515</v>
      </c>
      <c r="N210" s="3">
        <f t="shared" si="37"/>
        <v>243.5937942654731</v>
      </c>
      <c r="O210" s="3">
        <f t="shared" si="34"/>
        <v>529.8032238758784</v>
      </c>
      <c r="P210" s="3">
        <f t="shared" si="35"/>
        <v>124550.4505709755</v>
      </c>
      <c r="Q210" s="32"/>
      <c r="R210" s="32">
        <f>$G$39-SUM($Q$39:$Q210)</f>
        <v>200000</v>
      </c>
    </row>
    <row r="211" spans="1:18" ht="12.75">
      <c r="A211" s="1">
        <f t="shared" si="27"/>
        <v>46266</v>
      </c>
      <c r="B211" s="2">
        <f t="shared" si="28"/>
        <v>15</v>
      </c>
      <c r="C211" s="2">
        <f t="shared" si="29"/>
        <v>172</v>
      </c>
      <c r="D211" s="3">
        <f t="shared" si="38"/>
        <v>816.4823619977051</v>
      </c>
      <c r="E211" s="3">
        <f t="shared" si="36"/>
        <v>286.7171062621638</v>
      </c>
      <c r="F211" s="3">
        <f t="shared" si="30"/>
        <v>529.7652557355414</v>
      </c>
      <c r="G211" s="3">
        <f t="shared" si="31"/>
        <v>124583.15384048138</v>
      </c>
      <c r="H211" s="32"/>
      <c r="I211" s="32">
        <f>$G$39-SUM($H$39:$H211)</f>
        <v>200000</v>
      </c>
      <c r="J211" s="68"/>
      <c r="K211" s="2">
        <f t="shared" si="32"/>
        <v>15</v>
      </c>
      <c r="L211" s="2">
        <f t="shared" si="33"/>
        <v>172</v>
      </c>
      <c r="M211" s="3">
        <f>IF(L211&lt;&gt;" ",IF(P210&lt;M210,P210+N211,PMT($O$27,($N$30),-$R210))," ")</f>
        <v>773.3970181413515</v>
      </c>
      <c r="N211" s="3">
        <f t="shared" si="37"/>
        <v>242.56200248697482</v>
      </c>
      <c r="O211" s="3">
        <f t="shared" si="34"/>
        <v>530.8350156543767</v>
      </c>
      <c r="P211" s="3">
        <f t="shared" si="35"/>
        <v>124019.61555532113</v>
      </c>
      <c r="Q211" s="32"/>
      <c r="R211" s="32">
        <f>$G$39-SUM($Q$39:$Q211)</f>
        <v>200000</v>
      </c>
    </row>
    <row r="212" spans="1:18" ht="12.75">
      <c r="A212" s="1">
        <f t="shared" si="27"/>
        <v>46296</v>
      </c>
      <c r="B212" s="2">
        <f t="shared" si="28"/>
        <v>15</v>
      </c>
      <c r="C212" s="2">
        <f t="shared" si="29"/>
        <v>173</v>
      </c>
      <c r="D212" s="3">
        <f t="shared" si="38"/>
        <v>816.4823619977051</v>
      </c>
      <c r="E212" s="3">
        <f t="shared" si="36"/>
        <v>285.5030608844365</v>
      </c>
      <c r="F212" s="3">
        <f t="shared" si="30"/>
        <v>530.9793011132685</v>
      </c>
      <c r="G212" s="3">
        <f t="shared" si="31"/>
        <v>124052.1745393681</v>
      </c>
      <c r="H212" s="32"/>
      <c r="I212" s="32">
        <f>$G$39-SUM($H$39:$H212)</f>
        <v>200000</v>
      </c>
      <c r="J212" s="68"/>
      <c r="K212" s="2">
        <f t="shared" si="32"/>
        <v>15</v>
      </c>
      <c r="L212" s="2">
        <f t="shared" si="33"/>
        <v>173</v>
      </c>
      <c r="M212" s="3">
        <f>IF(L212&lt;&gt;" ",IF(P211&lt;M211,P211+N212,PMT($O$27,($N$30),-$R211))," ")</f>
        <v>773.3970181413515</v>
      </c>
      <c r="N212" s="3">
        <f t="shared" si="37"/>
        <v>241.52820129398793</v>
      </c>
      <c r="O212" s="3">
        <f t="shared" si="34"/>
        <v>531.8688168473636</v>
      </c>
      <c r="P212" s="3">
        <f t="shared" si="35"/>
        <v>123487.74673847377</v>
      </c>
      <c r="Q212" s="32"/>
      <c r="R212" s="32">
        <f>$G$39-SUM($Q$39:$Q212)</f>
        <v>200000</v>
      </c>
    </row>
    <row r="213" spans="1:18" ht="12.75">
      <c r="A213" s="1">
        <f t="shared" si="27"/>
        <v>46327</v>
      </c>
      <c r="B213" s="2">
        <f t="shared" si="28"/>
        <v>15</v>
      </c>
      <c r="C213" s="2">
        <f t="shared" si="29"/>
        <v>174</v>
      </c>
      <c r="D213" s="3">
        <f t="shared" si="38"/>
        <v>816.4823619977051</v>
      </c>
      <c r="E213" s="3">
        <f t="shared" si="36"/>
        <v>284.28623331938525</v>
      </c>
      <c r="F213" s="3">
        <f t="shared" si="30"/>
        <v>532.1961286783198</v>
      </c>
      <c r="G213" s="3">
        <f t="shared" si="31"/>
        <v>123519.97841068979</v>
      </c>
      <c r="H213" s="32"/>
      <c r="I213" s="32">
        <f>$G$39-SUM($H$39:$H213)</f>
        <v>200000</v>
      </c>
      <c r="J213" s="68"/>
      <c r="K213" s="2">
        <f t="shared" si="32"/>
        <v>15</v>
      </c>
      <c r="L213" s="2">
        <f t="shared" si="33"/>
        <v>174</v>
      </c>
      <c r="M213" s="3">
        <f>IF(L213&lt;&gt;" ",IF(P212&lt;M212,P212+N213,PMT($O$27,($N$30),-$R212))," ")</f>
        <v>773.3970181413515</v>
      </c>
      <c r="N213" s="3">
        <f t="shared" si="37"/>
        <v>240.49238677317769</v>
      </c>
      <c r="O213" s="3">
        <f t="shared" si="34"/>
        <v>532.9046313681738</v>
      </c>
      <c r="P213" s="3">
        <f t="shared" si="35"/>
        <v>122954.8421071056</v>
      </c>
      <c r="Q213" s="32"/>
      <c r="R213" s="32">
        <f>$G$39-SUM($Q$39:$Q213)</f>
        <v>200000</v>
      </c>
    </row>
    <row r="214" spans="1:18" ht="12.75">
      <c r="A214" s="1">
        <f t="shared" si="27"/>
        <v>46357</v>
      </c>
      <c r="B214" s="2">
        <f t="shared" si="28"/>
        <v>15</v>
      </c>
      <c r="C214" s="2">
        <f t="shared" si="29"/>
        <v>175</v>
      </c>
      <c r="D214" s="3">
        <f t="shared" si="38"/>
        <v>816.4823619977051</v>
      </c>
      <c r="E214" s="3">
        <f t="shared" si="36"/>
        <v>283.0666171911641</v>
      </c>
      <c r="F214" s="3">
        <f t="shared" si="30"/>
        <v>533.4157448065409</v>
      </c>
      <c r="G214" s="3">
        <f t="shared" si="31"/>
        <v>122986.56266588325</v>
      </c>
      <c r="H214" s="32"/>
      <c r="I214" s="32">
        <f>$G$39-SUM($H$39:$H214)</f>
        <v>200000</v>
      </c>
      <c r="J214" s="68"/>
      <c r="K214" s="2">
        <f t="shared" si="32"/>
        <v>15</v>
      </c>
      <c r="L214" s="2">
        <f t="shared" si="33"/>
        <v>175</v>
      </c>
      <c r="M214" s="3">
        <f>IF(L214&lt;&gt;" ",IF(P213&lt;M213,P213+N214,PMT($O$27,($N$30),-$R213))," ")</f>
        <v>773.3970181413515</v>
      </c>
      <c r="N214" s="3">
        <f t="shared" si="37"/>
        <v>239.45455500358818</v>
      </c>
      <c r="O214" s="3">
        <f t="shared" si="34"/>
        <v>533.9424631377633</v>
      </c>
      <c r="P214" s="3">
        <f t="shared" si="35"/>
        <v>122420.89964396783</v>
      </c>
      <c r="Q214" s="32"/>
      <c r="R214" s="32">
        <f>$G$39-SUM($Q$39:$Q214)</f>
        <v>200000</v>
      </c>
    </row>
    <row r="215" spans="1:18" ht="12.75">
      <c r="A215" s="1">
        <f t="shared" si="27"/>
        <v>46388</v>
      </c>
      <c r="B215" s="2">
        <f t="shared" si="28"/>
        <v>15</v>
      </c>
      <c r="C215" s="2">
        <f t="shared" si="29"/>
        <v>176</v>
      </c>
      <c r="D215" s="3">
        <f t="shared" si="38"/>
        <v>816.4823619977051</v>
      </c>
      <c r="E215" s="3">
        <f t="shared" si="36"/>
        <v>281.8442061093158</v>
      </c>
      <c r="F215" s="3">
        <f t="shared" si="30"/>
        <v>534.6381558883893</v>
      </c>
      <c r="G215" s="3">
        <f t="shared" si="31"/>
        <v>122451.92450999486</v>
      </c>
      <c r="H215" s="32"/>
      <c r="I215" s="32">
        <f>$G$39-SUM($H$39:$H215)</f>
        <v>200000</v>
      </c>
      <c r="J215" s="68"/>
      <c r="K215" s="2">
        <f t="shared" si="32"/>
        <v>15</v>
      </c>
      <c r="L215" s="2">
        <f t="shared" si="33"/>
        <v>176</v>
      </c>
      <c r="M215" s="3">
        <f>IF(L215&lt;&gt;" ",IF(P214&lt;M214,P214+N215,PMT($O$27,($N$30),-$R214))," ")</f>
        <v>773.3970181413515</v>
      </c>
      <c r="N215" s="3">
        <f t="shared" si="37"/>
        <v>238.4147020566274</v>
      </c>
      <c r="O215" s="3">
        <f t="shared" si="34"/>
        <v>534.9823160847241</v>
      </c>
      <c r="P215" s="3">
        <f t="shared" si="35"/>
        <v>121885.9173278831</v>
      </c>
      <c r="Q215" s="32"/>
      <c r="R215" s="32">
        <f>$G$39-SUM($Q$39:$Q215)</f>
        <v>200000</v>
      </c>
    </row>
    <row r="216" spans="1:18" ht="12.75">
      <c r="A216" s="1">
        <f t="shared" si="27"/>
        <v>46419</v>
      </c>
      <c r="B216" s="2">
        <f t="shared" si="28"/>
        <v>15</v>
      </c>
      <c r="C216" s="2">
        <f t="shared" si="29"/>
        <v>177</v>
      </c>
      <c r="D216" s="3">
        <f t="shared" si="38"/>
        <v>816.4823619977051</v>
      </c>
      <c r="E216" s="3">
        <f t="shared" si="36"/>
        <v>280.6189936687382</v>
      </c>
      <c r="F216" s="3">
        <f t="shared" si="30"/>
        <v>535.8633683289669</v>
      </c>
      <c r="G216" s="3">
        <f t="shared" si="31"/>
        <v>121916.0611416659</v>
      </c>
      <c r="H216" s="32"/>
      <c r="I216" s="32">
        <f>$G$39-SUM($H$39:$H216)</f>
        <v>200000</v>
      </c>
      <c r="J216" s="68"/>
      <c r="K216" s="2">
        <f t="shared" si="32"/>
        <v>15</v>
      </c>
      <c r="L216" s="2">
        <f t="shared" si="33"/>
        <v>177</v>
      </c>
      <c r="M216" s="3">
        <f>IF(L216&lt;&gt;" ",IF(P215&lt;M215,P215+N216,PMT($O$27,($N$30),-$R215))," ")</f>
        <v>773.3970181413515</v>
      </c>
      <c r="N216" s="3">
        <f t="shared" si="37"/>
        <v>237.37282399605238</v>
      </c>
      <c r="O216" s="3">
        <f t="shared" si="34"/>
        <v>536.0241941452991</v>
      </c>
      <c r="P216" s="3">
        <f t="shared" si="35"/>
        <v>121349.8931337378</v>
      </c>
      <c r="Q216" s="32"/>
      <c r="R216" s="32">
        <f>$G$39-SUM($Q$39:$Q216)</f>
        <v>200000</v>
      </c>
    </row>
    <row r="217" spans="1:18" ht="12.75">
      <c r="A217" s="1">
        <f t="shared" si="27"/>
        <v>46447</v>
      </c>
      <c r="B217" s="2">
        <f t="shared" si="28"/>
        <v>15</v>
      </c>
      <c r="C217" s="2">
        <f t="shared" si="29"/>
        <v>178</v>
      </c>
      <c r="D217" s="3">
        <f t="shared" si="38"/>
        <v>816.4823619977051</v>
      </c>
      <c r="E217" s="3">
        <f t="shared" si="36"/>
        <v>279.390973449651</v>
      </c>
      <c r="F217" s="3">
        <f t="shared" si="30"/>
        <v>537.091388548054</v>
      </c>
      <c r="G217" s="3">
        <f t="shared" si="31"/>
        <v>121378.96975311784</v>
      </c>
      <c r="H217" s="32"/>
      <c r="I217" s="32">
        <f>$G$39-SUM($H$39:$H217)</f>
        <v>200000</v>
      </c>
      <c r="J217" s="68"/>
      <c r="K217" s="2">
        <f t="shared" si="32"/>
        <v>15</v>
      </c>
      <c r="L217" s="2">
        <f t="shared" si="33"/>
        <v>178</v>
      </c>
      <c r="M217" s="3">
        <f>IF(L217&lt;&gt;" ",IF(P216&lt;M216,P216+N217,PMT($O$27,($N$30),-$R216))," ")</f>
        <v>773.3970181413515</v>
      </c>
      <c r="N217" s="3">
        <f t="shared" si="37"/>
        <v>236.32891687795438</v>
      </c>
      <c r="O217" s="3">
        <f t="shared" si="34"/>
        <v>537.0681012633971</v>
      </c>
      <c r="P217" s="3">
        <f t="shared" si="35"/>
        <v>120812.8250324744</v>
      </c>
      <c r="Q217" s="32"/>
      <c r="R217" s="32">
        <f>$G$39-SUM($Q$39:$Q217)</f>
        <v>200000</v>
      </c>
    </row>
    <row r="218" spans="1:18" ht="12.75">
      <c r="A218" s="1">
        <f t="shared" si="27"/>
        <v>46478</v>
      </c>
      <c r="B218" s="2">
        <f t="shared" si="28"/>
        <v>15</v>
      </c>
      <c r="C218" s="2">
        <f t="shared" si="29"/>
        <v>179</v>
      </c>
      <c r="D218" s="3">
        <f t="shared" si="38"/>
        <v>816.4823619977051</v>
      </c>
      <c r="E218" s="3">
        <f t="shared" si="36"/>
        <v>278.16013901756173</v>
      </c>
      <c r="F218" s="3">
        <f t="shared" si="30"/>
        <v>538.3222229801434</v>
      </c>
      <c r="G218" s="3">
        <f t="shared" si="31"/>
        <v>120840.64753013769</v>
      </c>
      <c r="H218" s="32"/>
      <c r="I218" s="32">
        <f>$G$39-SUM($H$39:$H218)</f>
        <v>200000</v>
      </c>
      <c r="J218" s="68"/>
      <c r="K218" s="2">
        <f t="shared" si="32"/>
        <v>15</v>
      </c>
      <c r="L218" s="2">
        <f t="shared" si="33"/>
        <v>179</v>
      </c>
      <c r="M218" s="3">
        <f>IF(L218&lt;&gt;" ",IF(P217&lt;M217,P217+N218,PMT($O$27,($N$30),-$R217))," ")</f>
        <v>773.3970181413515</v>
      </c>
      <c r="N218" s="3">
        <f t="shared" si="37"/>
        <v>235.28297675074393</v>
      </c>
      <c r="O218" s="3">
        <f t="shared" si="34"/>
        <v>538.1140413906076</v>
      </c>
      <c r="P218" s="3">
        <f t="shared" si="35"/>
        <v>120274.71099108379</v>
      </c>
      <c r="Q218" s="32"/>
      <c r="R218" s="32">
        <f>$G$39-SUM($Q$39:$Q218)</f>
        <v>200000</v>
      </c>
    </row>
    <row r="219" spans="1:18" ht="12.75">
      <c r="A219" s="1">
        <f t="shared" si="27"/>
        <v>46508</v>
      </c>
      <c r="B219" s="2">
        <f t="shared" si="28"/>
        <v>15</v>
      </c>
      <c r="C219" s="2">
        <f t="shared" si="29"/>
        <v>180</v>
      </c>
      <c r="D219" s="3">
        <f t="shared" si="38"/>
        <v>816.4823619977051</v>
      </c>
      <c r="E219" s="3">
        <f t="shared" si="36"/>
        <v>276.92648392323224</v>
      </c>
      <c r="F219" s="3">
        <f t="shared" si="30"/>
        <v>539.5558780744728</v>
      </c>
      <c r="G219" s="3">
        <f t="shared" si="31"/>
        <v>120301.09165206322</v>
      </c>
      <c r="H219" s="32"/>
      <c r="I219" s="32">
        <f>$G$39-SUM($H$39:$H219)</f>
        <v>200000</v>
      </c>
      <c r="J219" s="68"/>
      <c r="K219" s="2">
        <f t="shared" si="32"/>
        <v>15</v>
      </c>
      <c r="L219" s="2">
        <f t="shared" si="33"/>
        <v>180</v>
      </c>
      <c r="M219" s="3">
        <f>IF(L219&lt;&gt;" ",IF(P218&lt;M218,P218+N219,PMT($O$27,($N$30),-$R218))," ")</f>
        <v>773.3970181413515</v>
      </c>
      <c r="N219" s="3">
        <f t="shared" si="37"/>
        <v>234.2349996551357</v>
      </c>
      <c r="O219" s="3">
        <f t="shared" si="34"/>
        <v>539.1620184862159</v>
      </c>
      <c r="P219" s="3">
        <f t="shared" si="35"/>
        <v>119735.54897259758</v>
      </c>
      <c r="Q219" s="32"/>
      <c r="R219" s="32">
        <f>$G$39-SUM($Q$39:$Q219)</f>
        <v>200000</v>
      </c>
    </row>
    <row r="220" spans="1:18" ht="12.75">
      <c r="A220" s="1">
        <f t="shared" si="27"/>
        <v>46539</v>
      </c>
      <c r="B220" s="2">
        <f t="shared" si="28"/>
        <v>16</v>
      </c>
      <c r="C220" s="2">
        <f t="shared" si="29"/>
        <v>181</v>
      </c>
      <c r="D220" s="3">
        <f t="shared" si="38"/>
        <v>816.4823619977051</v>
      </c>
      <c r="E220" s="3">
        <f t="shared" si="36"/>
        <v>275.69000170264485</v>
      </c>
      <c r="F220" s="3">
        <f t="shared" si="30"/>
        <v>540.7923602950602</v>
      </c>
      <c r="G220" s="3">
        <f t="shared" si="31"/>
        <v>119760.29929176815</v>
      </c>
      <c r="H220" s="32"/>
      <c r="I220" s="32">
        <f>$G$39-SUM($H$39:$H220)</f>
        <v>200000</v>
      </c>
      <c r="J220" s="68"/>
      <c r="K220" s="2">
        <f t="shared" si="32"/>
        <v>16</v>
      </c>
      <c r="L220" s="2">
        <f t="shared" si="33"/>
        <v>181</v>
      </c>
      <c r="M220" s="3">
        <f>IF(L220&lt;&gt;" ",IF(P219&lt;M219,P219+N220,PMT($O$27,($N$30),-$R219))," ")</f>
        <v>773.3970181413515</v>
      </c>
      <c r="N220" s="3">
        <f t="shared" si="37"/>
        <v>233.1849816241338</v>
      </c>
      <c r="O220" s="3">
        <f t="shared" si="34"/>
        <v>540.2120365172177</v>
      </c>
      <c r="P220" s="3">
        <f t="shared" si="35"/>
        <v>119195.33693608036</v>
      </c>
      <c r="Q220" s="32"/>
      <c r="R220" s="32">
        <f>$G$39-SUM($Q$39:$Q220)</f>
        <v>200000</v>
      </c>
    </row>
    <row r="221" spans="1:18" ht="12.75">
      <c r="A221" s="1">
        <f t="shared" si="27"/>
        <v>46569</v>
      </c>
      <c r="B221" s="2">
        <f t="shared" si="28"/>
        <v>16</v>
      </c>
      <c r="C221" s="2">
        <f t="shared" si="29"/>
        <v>182</v>
      </c>
      <c r="D221" s="3">
        <f t="shared" si="38"/>
        <v>816.4823619977051</v>
      </c>
      <c r="E221" s="3">
        <f t="shared" si="36"/>
        <v>274.4506858769687</v>
      </c>
      <c r="F221" s="3">
        <f t="shared" si="30"/>
        <v>542.0316761207364</v>
      </c>
      <c r="G221" s="3">
        <f t="shared" si="31"/>
        <v>119218.26761564742</v>
      </c>
      <c r="H221" s="32"/>
      <c r="I221" s="32">
        <f>$G$39-SUM($H$39:$H221)</f>
        <v>200000</v>
      </c>
      <c r="J221" s="68"/>
      <c r="K221" s="2">
        <f t="shared" si="32"/>
        <v>16</v>
      </c>
      <c r="L221" s="2">
        <f t="shared" si="33"/>
        <v>182</v>
      </c>
      <c r="M221" s="3">
        <f>IF(L221&lt;&gt;" ",IF(P220&lt;M220,P220+N221,PMT($O$27,($N$30),-$R220))," ")</f>
        <v>773.3970181413515</v>
      </c>
      <c r="N221" s="3">
        <f t="shared" si="37"/>
        <v>232.13291868301653</v>
      </c>
      <c r="O221" s="3">
        <f t="shared" si="34"/>
        <v>541.264099458335</v>
      </c>
      <c r="P221" s="3">
        <f t="shared" si="35"/>
        <v>118654.07283662203</v>
      </c>
      <c r="Q221" s="32"/>
      <c r="R221" s="32">
        <f>$G$39-SUM($Q$39:$Q221)</f>
        <v>200000</v>
      </c>
    </row>
    <row r="222" spans="1:18" ht="12.75">
      <c r="A222" s="1">
        <f t="shared" si="27"/>
        <v>46600</v>
      </c>
      <c r="B222" s="2">
        <f t="shared" si="28"/>
        <v>16</v>
      </c>
      <c r="C222" s="2">
        <f t="shared" si="29"/>
        <v>183</v>
      </c>
      <c r="D222" s="3">
        <f t="shared" si="38"/>
        <v>816.4823619977051</v>
      </c>
      <c r="E222" s="3">
        <f t="shared" si="36"/>
        <v>273.20852995252534</v>
      </c>
      <c r="F222" s="3">
        <f t="shared" si="30"/>
        <v>543.2738320451797</v>
      </c>
      <c r="G222" s="3">
        <f t="shared" si="31"/>
        <v>118674.99378360224</v>
      </c>
      <c r="H222" s="32"/>
      <c r="I222" s="32">
        <f>$G$39-SUM($H$39:$H222)</f>
        <v>200000</v>
      </c>
      <c r="J222" s="68"/>
      <c r="K222" s="2">
        <f t="shared" si="32"/>
        <v>16</v>
      </c>
      <c r="L222" s="2">
        <f t="shared" si="33"/>
        <v>183</v>
      </c>
      <c r="M222" s="3">
        <f>IF(L222&lt;&gt;" ",IF(P221&lt;M221,P221+N222,PMT($O$27,($N$30),-$R221))," ")</f>
        <v>773.3970181413515</v>
      </c>
      <c r="N222" s="3">
        <f t="shared" si="37"/>
        <v>231.07880684932144</v>
      </c>
      <c r="O222" s="3">
        <f t="shared" si="34"/>
        <v>542.3182112920301</v>
      </c>
      <c r="P222" s="3">
        <f t="shared" si="35"/>
        <v>118111.75462533</v>
      </c>
      <c r="Q222" s="32"/>
      <c r="R222" s="32">
        <f>$G$39-SUM($Q$39:$Q222)</f>
        <v>200000</v>
      </c>
    </row>
    <row r="223" spans="1:18" ht="12.75">
      <c r="A223" s="1">
        <f t="shared" si="27"/>
        <v>46631</v>
      </c>
      <c r="B223" s="2">
        <f t="shared" si="28"/>
        <v>16</v>
      </c>
      <c r="C223" s="2">
        <f t="shared" si="29"/>
        <v>184</v>
      </c>
      <c r="D223" s="3">
        <f t="shared" si="38"/>
        <v>816.4823619977051</v>
      </c>
      <c r="E223" s="3">
        <f t="shared" si="36"/>
        <v>271.96352742075516</v>
      </c>
      <c r="F223" s="3">
        <f t="shared" si="30"/>
        <v>544.51883457695</v>
      </c>
      <c r="G223" s="3">
        <f t="shared" si="31"/>
        <v>118130.47494902529</v>
      </c>
      <c r="H223" s="32"/>
      <c r="I223" s="32">
        <f>$G$39-SUM($H$39:$H223)</f>
        <v>200000</v>
      </c>
      <c r="J223" s="68"/>
      <c r="K223" s="2">
        <f t="shared" si="32"/>
        <v>16</v>
      </c>
      <c r="L223" s="2">
        <f t="shared" si="33"/>
        <v>184</v>
      </c>
      <c r="M223" s="3">
        <f>IF(L223&lt;&gt;" ",IF(P222&lt;M222,P222+N223,PMT($O$27,($N$30),-$R222))," ")</f>
        <v>773.3970181413515</v>
      </c>
      <c r="N223" s="3">
        <f t="shared" si="37"/>
        <v>230.02264213283019</v>
      </c>
      <c r="O223" s="3">
        <f t="shared" si="34"/>
        <v>543.3743760085213</v>
      </c>
      <c r="P223" s="3">
        <f t="shared" si="35"/>
        <v>117568.38024932148</v>
      </c>
      <c r="Q223" s="32"/>
      <c r="R223" s="32">
        <f>$G$39-SUM($Q$39:$Q223)</f>
        <v>200000</v>
      </c>
    </row>
    <row r="224" spans="1:18" ht="12.75">
      <c r="A224" s="1">
        <f t="shared" si="27"/>
        <v>46661</v>
      </c>
      <c r="B224" s="2">
        <f t="shared" si="28"/>
        <v>16</v>
      </c>
      <c r="C224" s="2">
        <f t="shared" si="29"/>
        <v>185</v>
      </c>
      <c r="D224" s="3">
        <f t="shared" si="38"/>
        <v>816.4823619977051</v>
      </c>
      <c r="E224" s="3">
        <f t="shared" si="36"/>
        <v>270.71567175818296</v>
      </c>
      <c r="F224" s="3">
        <f t="shared" si="30"/>
        <v>545.7666902395222</v>
      </c>
      <c r="G224" s="3">
        <f t="shared" si="31"/>
        <v>117584.70825878576</v>
      </c>
      <c r="H224" s="32"/>
      <c r="I224" s="32">
        <f>$G$39-SUM($H$39:$H224)</f>
        <v>200000</v>
      </c>
      <c r="J224" s="68"/>
      <c r="K224" s="2">
        <f t="shared" si="32"/>
        <v>16</v>
      </c>
      <c r="L224" s="2">
        <f t="shared" si="33"/>
        <v>185</v>
      </c>
      <c r="M224" s="3">
        <f>IF(L224&lt;&gt;" ",IF(P223&lt;M223,P223+N224,PMT($O$27,($N$30),-$R223))," ")</f>
        <v>773.3970181413515</v>
      </c>
      <c r="N224" s="3">
        <f t="shared" si="37"/>
        <v>228.9644205355536</v>
      </c>
      <c r="O224" s="3">
        <f t="shared" si="34"/>
        <v>544.4325976057979</v>
      </c>
      <c r="P224" s="3">
        <f t="shared" si="35"/>
        <v>117023.94765171567</v>
      </c>
      <c r="Q224" s="32"/>
      <c r="R224" s="32">
        <f>$G$39-SUM($Q$39:$Q224)</f>
        <v>200000</v>
      </c>
    </row>
    <row r="225" spans="1:18" ht="12.75">
      <c r="A225" s="1">
        <f t="shared" si="27"/>
        <v>46692</v>
      </c>
      <c r="B225" s="2">
        <f t="shared" si="28"/>
        <v>16</v>
      </c>
      <c r="C225" s="2">
        <f t="shared" si="29"/>
        <v>186</v>
      </c>
      <c r="D225" s="3">
        <f t="shared" si="38"/>
        <v>816.4823619977051</v>
      </c>
      <c r="E225" s="3">
        <f t="shared" si="36"/>
        <v>269.46495642638405</v>
      </c>
      <c r="F225" s="3">
        <f t="shared" si="30"/>
        <v>547.017405571321</v>
      </c>
      <c r="G225" s="3">
        <f t="shared" si="31"/>
        <v>117037.69085321444</v>
      </c>
      <c r="H225" s="32"/>
      <c r="I225" s="32">
        <f>$G$39-SUM($H$39:$H225)</f>
        <v>200000</v>
      </c>
      <c r="J225" s="68"/>
      <c r="K225" s="2">
        <f t="shared" si="32"/>
        <v>16</v>
      </c>
      <c r="L225" s="2">
        <f t="shared" si="33"/>
        <v>186</v>
      </c>
      <c r="M225" s="3">
        <f>IF(L225&lt;&gt;" ",IF(P224&lt;M224,P224+N225,PMT($O$27,($N$30),-$R224))," ")</f>
        <v>773.3970181413515</v>
      </c>
      <c r="N225" s="3">
        <f t="shared" si="37"/>
        <v>227.9041380517163</v>
      </c>
      <c r="O225" s="3">
        <f t="shared" si="34"/>
        <v>545.4928800896353</v>
      </c>
      <c r="P225" s="3">
        <f t="shared" si="35"/>
        <v>116478.45477162604</v>
      </c>
      <c r="Q225" s="32"/>
      <c r="R225" s="32">
        <f>$G$39-SUM($Q$39:$Q225)</f>
        <v>200000</v>
      </c>
    </row>
    <row r="226" spans="1:18" ht="12.75">
      <c r="A226" s="1">
        <f t="shared" si="27"/>
        <v>46722</v>
      </c>
      <c r="B226" s="2">
        <f t="shared" si="28"/>
        <v>16</v>
      </c>
      <c r="C226" s="2">
        <f t="shared" si="29"/>
        <v>187</v>
      </c>
      <c r="D226" s="3">
        <f t="shared" si="38"/>
        <v>816.4823619977051</v>
      </c>
      <c r="E226" s="3">
        <f t="shared" si="36"/>
        <v>268.2113748719498</v>
      </c>
      <c r="F226" s="3">
        <f t="shared" si="30"/>
        <v>548.2709871257553</v>
      </c>
      <c r="G226" s="3">
        <f t="shared" si="31"/>
        <v>116489.41986608869</v>
      </c>
      <c r="H226" s="32"/>
      <c r="I226" s="32">
        <f>$G$39-SUM($H$39:$H226)</f>
        <v>200000</v>
      </c>
      <c r="J226" s="68"/>
      <c r="K226" s="2">
        <f t="shared" si="32"/>
        <v>16</v>
      </c>
      <c r="L226" s="2">
        <f t="shared" si="33"/>
        <v>187</v>
      </c>
      <c r="M226" s="3">
        <f>IF(L226&lt;&gt;" ",IF(P225&lt;M225,P225+N226,PMT($O$27,($N$30),-$R225))," ")</f>
        <v>773.3970181413515</v>
      </c>
      <c r="N226" s="3">
        <f t="shared" si="37"/>
        <v>226.84179066774175</v>
      </c>
      <c r="O226" s="3">
        <f t="shared" si="34"/>
        <v>546.5552274736098</v>
      </c>
      <c r="P226" s="3">
        <f t="shared" si="35"/>
        <v>115931.89954415243</v>
      </c>
      <c r="Q226" s="32"/>
      <c r="R226" s="32">
        <f>$G$39-SUM($Q$39:$Q226)</f>
        <v>200000</v>
      </c>
    </row>
    <row r="227" spans="1:18" ht="12.75">
      <c r="A227" s="1">
        <f t="shared" si="27"/>
        <v>46753</v>
      </c>
      <c r="B227" s="2">
        <f t="shared" si="28"/>
        <v>16</v>
      </c>
      <c r="C227" s="2">
        <f t="shared" si="29"/>
        <v>188</v>
      </c>
      <c r="D227" s="3">
        <f t="shared" si="38"/>
        <v>816.4823619977051</v>
      </c>
      <c r="E227" s="3">
        <f t="shared" si="36"/>
        <v>266.95492052645324</v>
      </c>
      <c r="F227" s="3">
        <f t="shared" si="30"/>
        <v>549.5274414712519</v>
      </c>
      <c r="G227" s="3">
        <f t="shared" si="31"/>
        <v>115939.89242461744</v>
      </c>
      <c r="H227" s="32"/>
      <c r="I227" s="32">
        <f>$G$39-SUM($H$39:$H227)</f>
        <v>200000</v>
      </c>
      <c r="J227" s="68"/>
      <c r="K227" s="2">
        <f t="shared" si="32"/>
        <v>16</v>
      </c>
      <c r="L227" s="2">
        <f t="shared" si="33"/>
        <v>188</v>
      </c>
      <c r="M227" s="3">
        <f>IF(L227&lt;&gt;" ",IF(P226&lt;M226,P226+N227,PMT($O$27,($N$30),-$R226))," ")</f>
        <v>773.3970181413515</v>
      </c>
      <c r="N227" s="3">
        <f t="shared" si="37"/>
        <v>225.77737436223688</v>
      </c>
      <c r="O227" s="3">
        <f t="shared" si="34"/>
        <v>547.6196437791147</v>
      </c>
      <c r="P227" s="3">
        <f t="shared" si="35"/>
        <v>115384.27990037332</v>
      </c>
      <c r="Q227" s="32"/>
      <c r="R227" s="32">
        <f>$G$39-SUM($Q$39:$Q227)</f>
        <v>200000</v>
      </c>
    </row>
    <row r="228" spans="1:18" ht="12.75">
      <c r="A228" s="1">
        <f t="shared" si="27"/>
        <v>46784</v>
      </c>
      <c r="B228" s="2">
        <f t="shared" si="28"/>
        <v>16</v>
      </c>
      <c r="C228" s="2">
        <f t="shared" si="29"/>
        <v>189</v>
      </c>
      <c r="D228" s="3">
        <f t="shared" si="38"/>
        <v>816.4823619977051</v>
      </c>
      <c r="E228" s="3">
        <f t="shared" si="36"/>
        <v>265.69558680641495</v>
      </c>
      <c r="F228" s="3">
        <f t="shared" si="30"/>
        <v>550.7867751912902</v>
      </c>
      <c r="G228" s="3">
        <f t="shared" si="31"/>
        <v>115389.10564942616</v>
      </c>
      <c r="H228" s="32"/>
      <c r="I228" s="32">
        <f>$G$39-SUM($H$39:$H228)</f>
        <v>200000</v>
      </c>
      <c r="J228" s="68"/>
      <c r="K228" s="2">
        <f t="shared" si="32"/>
        <v>16</v>
      </c>
      <c r="L228" s="2">
        <f t="shared" si="33"/>
        <v>189</v>
      </c>
      <c r="M228" s="3">
        <f>IF(L228&lt;&gt;" ",IF(P227&lt;M227,P227+N228,PMT($O$27,($N$30),-$R227))," ")</f>
        <v>773.3970181413515</v>
      </c>
      <c r="N228" s="3">
        <f t="shared" si="37"/>
        <v>224.71088510597707</v>
      </c>
      <c r="O228" s="3">
        <f t="shared" si="34"/>
        <v>548.6861330353745</v>
      </c>
      <c r="P228" s="3">
        <f t="shared" si="35"/>
        <v>114835.59376733795</v>
      </c>
      <c r="Q228" s="32"/>
      <c r="R228" s="32">
        <f>$G$39-SUM($Q$39:$Q228)</f>
        <v>200000</v>
      </c>
    </row>
    <row r="229" spans="1:18" ht="12.75">
      <c r="A229" s="1">
        <f t="shared" si="27"/>
        <v>46813</v>
      </c>
      <c r="B229" s="2">
        <f t="shared" si="28"/>
        <v>16</v>
      </c>
      <c r="C229" s="2">
        <f t="shared" si="29"/>
        <v>190</v>
      </c>
      <c r="D229" s="3">
        <f t="shared" si="38"/>
        <v>816.4823619977051</v>
      </c>
      <c r="E229" s="3">
        <f t="shared" si="36"/>
        <v>264.4333671132683</v>
      </c>
      <c r="F229" s="3">
        <f t="shared" si="30"/>
        <v>552.0489948844368</v>
      </c>
      <c r="G229" s="3">
        <f t="shared" si="31"/>
        <v>114837.05665454172</v>
      </c>
      <c r="H229" s="32"/>
      <c r="I229" s="32">
        <f>$G$39-SUM($H$39:$H229)</f>
        <v>200000</v>
      </c>
      <c r="J229" s="68"/>
      <c r="K229" s="2">
        <f t="shared" si="32"/>
        <v>16</v>
      </c>
      <c r="L229" s="2">
        <f t="shared" si="33"/>
        <v>190</v>
      </c>
      <c r="M229" s="3">
        <f>IF(L229&lt;&gt;" ",IF(P228&lt;M228,P228+N229,PMT($O$27,($N$30),-$R228))," ")</f>
        <v>773.3970181413515</v>
      </c>
      <c r="N229" s="3">
        <f t="shared" si="37"/>
        <v>223.6423188618907</v>
      </c>
      <c r="O229" s="3">
        <f t="shared" si="34"/>
        <v>549.7546992794609</v>
      </c>
      <c r="P229" s="3">
        <f t="shared" si="35"/>
        <v>114285.83906805849</v>
      </c>
      <c r="Q229" s="32"/>
      <c r="R229" s="32">
        <f>$G$39-SUM($Q$39:$Q229)</f>
        <v>200000</v>
      </c>
    </row>
    <row r="230" spans="1:18" ht="12.75">
      <c r="A230" s="1">
        <f t="shared" si="27"/>
        <v>46844</v>
      </c>
      <c r="B230" s="2">
        <f t="shared" si="28"/>
        <v>16</v>
      </c>
      <c r="C230" s="2">
        <f t="shared" si="29"/>
        <v>191</v>
      </c>
      <c r="D230" s="3">
        <f t="shared" si="38"/>
        <v>816.4823619977051</v>
      </c>
      <c r="E230" s="3">
        <f t="shared" si="36"/>
        <v>263.1682548333248</v>
      </c>
      <c r="F230" s="3">
        <f t="shared" si="30"/>
        <v>553.3141071643803</v>
      </c>
      <c r="G230" s="3">
        <f t="shared" si="31"/>
        <v>114283.74254737735</v>
      </c>
      <c r="H230" s="32"/>
      <c r="I230" s="32">
        <f>$G$39-SUM($H$39:$H230)</f>
        <v>200000</v>
      </c>
      <c r="J230" s="68"/>
      <c r="K230" s="2">
        <f t="shared" si="32"/>
        <v>16</v>
      </c>
      <c r="L230" s="2">
        <f t="shared" si="33"/>
        <v>191</v>
      </c>
      <c r="M230" s="3">
        <f>IF(L230&lt;&gt;" ",IF(P229&lt;M229,P229+N230,PMT($O$27,($N$30),-$R229))," ")</f>
        <v>773.3970181413515</v>
      </c>
      <c r="N230" s="3">
        <f t="shared" si="37"/>
        <v>222.57167158504393</v>
      </c>
      <c r="O230" s="3">
        <f t="shared" si="34"/>
        <v>550.8253465563075</v>
      </c>
      <c r="P230" s="3">
        <f t="shared" si="35"/>
        <v>113735.01372150218</v>
      </c>
      <c r="Q230" s="32"/>
      <c r="R230" s="32">
        <f>$G$39-SUM($Q$39:$Q230)</f>
        <v>200000</v>
      </c>
    </row>
    <row r="231" spans="1:18" ht="12.75">
      <c r="A231" s="1">
        <f t="shared" si="27"/>
        <v>46874</v>
      </c>
      <c r="B231" s="2">
        <f t="shared" si="28"/>
        <v>16</v>
      </c>
      <c r="C231" s="2">
        <f t="shared" si="29"/>
        <v>192</v>
      </c>
      <c r="D231" s="3">
        <f t="shared" si="38"/>
        <v>816.4823619977051</v>
      </c>
      <c r="E231" s="3">
        <f t="shared" si="36"/>
        <v>261.90024333773977</v>
      </c>
      <c r="F231" s="3">
        <f t="shared" si="30"/>
        <v>554.5821186599653</v>
      </c>
      <c r="G231" s="3">
        <f t="shared" si="31"/>
        <v>113729.16042871738</v>
      </c>
      <c r="H231" s="32"/>
      <c r="I231" s="32">
        <f>$G$39-SUM($H$39:$H231)</f>
        <v>200000</v>
      </c>
      <c r="J231" s="68"/>
      <c r="K231" s="2">
        <f t="shared" si="32"/>
        <v>16</v>
      </c>
      <c r="L231" s="2">
        <f t="shared" si="33"/>
        <v>192</v>
      </c>
      <c r="M231" s="3">
        <f>IF(L231&lt;&gt;" ",IF(P230&lt;M230,P230+N231,PMT($O$27,($N$30),-$R230))," ")</f>
        <v>773.3970181413515</v>
      </c>
      <c r="N231" s="3">
        <f t="shared" si="37"/>
        <v>221.49893922262552</v>
      </c>
      <c r="O231" s="3">
        <f t="shared" si="34"/>
        <v>551.898078918726</v>
      </c>
      <c r="P231" s="3">
        <f t="shared" si="35"/>
        <v>113183.11564258346</v>
      </c>
      <c r="Q231" s="32"/>
      <c r="R231" s="32">
        <f>$G$39-SUM($Q$39:$Q231)</f>
        <v>200000</v>
      </c>
    </row>
    <row r="232" spans="1:18" ht="12.75">
      <c r="A232" s="1">
        <f t="shared" si="27"/>
        <v>46905</v>
      </c>
      <c r="B232" s="2">
        <f t="shared" si="28"/>
        <v>17</v>
      </c>
      <c r="C232" s="2">
        <f t="shared" si="29"/>
        <v>193</v>
      </c>
      <c r="D232" s="3">
        <f t="shared" si="38"/>
        <v>816.4823619977051</v>
      </c>
      <c r="E232" s="3">
        <f t="shared" si="36"/>
        <v>260.6293259824773</v>
      </c>
      <c r="F232" s="3">
        <f t="shared" si="30"/>
        <v>555.8530360152278</v>
      </c>
      <c r="G232" s="3">
        <f t="shared" si="31"/>
        <v>113173.30739270216</v>
      </c>
      <c r="H232" s="32"/>
      <c r="I232" s="32">
        <f>$G$39-SUM($H$39:$H232)</f>
        <v>200000</v>
      </c>
      <c r="J232" s="68"/>
      <c r="K232" s="2">
        <f t="shared" si="32"/>
        <v>17</v>
      </c>
      <c r="L232" s="2">
        <f t="shared" si="33"/>
        <v>193</v>
      </c>
      <c r="M232" s="3">
        <f>IF(L232&lt;&gt;" ",IF(P231&lt;M231,P231+N232,PMT($O$27,($N$30),-$R231))," ")</f>
        <v>773.3970181413515</v>
      </c>
      <c r="N232" s="3">
        <f t="shared" si="37"/>
        <v>220.4241177139313</v>
      </c>
      <c r="O232" s="3">
        <f t="shared" si="34"/>
        <v>552.9729004274202</v>
      </c>
      <c r="P232" s="3">
        <f t="shared" si="35"/>
        <v>112630.14274215604</v>
      </c>
      <c r="Q232" s="32"/>
      <c r="R232" s="32">
        <f>$G$39-SUM($Q$39:$Q232)</f>
        <v>200000</v>
      </c>
    </row>
    <row r="233" spans="1:18" ht="12.75">
      <c r="A233" s="1">
        <f aca="true" t="shared" si="39" ref="A233:A296">IF(B233&lt;&gt;" ",DATE(YEAR(A232),MONTH(A232)+1,DAY(A232)),"")</f>
        <v>46935</v>
      </c>
      <c r="B233" s="2">
        <f aca="true" t="shared" si="40" ref="B233:B296">IF(C233&lt;&gt;" ",INT(C232/12)+1," ")</f>
        <v>17</v>
      </c>
      <c r="C233" s="2">
        <f aca="true" t="shared" si="41" ref="C233:C296">IF(CODE(C232)=32," ",IF(AND(C232+1&lt;=$E$30,G232&gt;0),+C232+1," "))</f>
        <v>194</v>
      </c>
      <c r="D233" s="3">
        <f t="shared" si="38"/>
        <v>816.4823619977051</v>
      </c>
      <c r="E233" s="3">
        <f t="shared" si="36"/>
        <v>259.3554961082758</v>
      </c>
      <c r="F233" s="3">
        <f aca="true" t="shared" si="42" ref="F233:F296">IF(C233&lt;&gt;" ",D233-E233+H233," ")</f>
        <v>557.1268658894293</v>
      </c>
      <c r="G233" s="3">
        <f aca="true" t="shared" si="43" ref="G233:G296">IF(C233&lt;&gt;" ",G232-F233," ")</f>
        <v>112616.18052681274</v>
      </c>
      <c r="H233" s="32"/>
      <c r="I233" s="32">
        <f>$G$39-SUM($H$39:$H233)</f>
        <v>200000</v>
      </c>
      <c r="J233" s="68"/>
      <c r="K233" s="2">
        <f aca="true" t="shared" si="44" ref="K233:K296">IF(L233&lt;&gt;" ",INT(L232/12)+1," ")</f>
        <v>17</v>
      </c>
      <c r="L233" s="2">
        <f aca="true" t="shared" si="45" ref="L233:L296">IF(CODE(L232)=32," ",IF(AND(L232+1&lt;=$E$30,P232&gt;0),+L232+1," "))</f>
        <v>194</v>
      </c>
      <c r="M233" s="3">
        <f>IF(L233&lt;&gt;" ",IF(P232&lt;M232,P232+N233,PMT($O$27,($N$30),-$R232))," ")</f>
        <v>773.3970181413515</v>
      </c>
      <c r="N233" s="3">
        <f t="shared" si="37"/>
        <v>219.3472029903489</v>
      </c>
      <c r="O233" s="3">
        <f aca="true" t="shared" si="46" ref="O233:O296">IF(L233&lt;&gt;" ",M233-N233+Q233," ")</f>
        <v>554.0498151510026</v>
      </c>
      <c r="P233" s="3">
        <f aca="true" t="shared" si="47" ref="P233:P296">IF(L233&lt;&gt;" ",P232-O233," ")</f>
        <v>112076.09292700504</v>
      </c>
      <c r="Q233" s="32"/>
      <c r="R233" s="32">
        <f>$G$39-SUM($Q$39:$Q233)</f>
        <v>200000</v>
      </c>
    </row>
    <row r="234" spans="1:18" ht="12.75">
      <c r="A234" s="1">
        <f t="shared" si="39"/>
        <v>46966</v>
      </c>
      <c r="B234" s="2">
        <f t="shared" si="40"/>
        <v>17</v>
      </c>
      <c r="C234" s="2">
        <f t="shared" si="41"/>
        <v>195</v>
      </c>
      <c r="D234" s="3">
        <f t="shared" si="38"/>
        <v>816.4823619977051</v>
      </c>
      <c r="E234" s="3">
        <f t="shared" si="36"/>
        <v>258.07874704061254</v>
      </c>
      <c r="F234" s="3">
        <f t="shared" si="42"/>
        <v>558.4036149570925</v>
      </c>
      <c r="G234" s="3">
        <f t="shared" si="43"/>
        <v>112057.77691185565</v>
      </c>
      <c r="H234" s="32"/>
      <c r="I234" s="32">
        <f>$G$39-SUM($H$39:$H234)</f>
        <v>200000</v>
      </c>
      <c r="J234" s="68"/>
      <c r="K234" s="2">
        <f t="shared" si="44"/>
        <v>17</v>
      </c>
      <c r="L234" s="2">
        <f t="shared" si="45"/>
        <v>195</v>
      </c>
      <c r="M234" s="3">
        <f>IF(L234&lt;&gt;" ",IF(P233&lt;M233,P233+N234,PMT($O$27,($N$30),-$R233))," ")</f>
        <v>773.3970181413515</v>
      </c>
      <c r="N234" s="3">
        <f t="shared" si="37"/>
        <v>218.26819097534235</v>
      </c>
      <c r="O234" s="3">
        <f t="shared" si="46"/>
        <v>555.1288271660092</v>
      </c>
      <c r="P234" s="3">
        <f t="shared" si="47"/>
        <v>111520.96409983902</v>
      </c>
      <c r="Q234" s="32"/>
      <c r="R234" s="32">
        <f>$G$39-SUM($Q$39:$Q234)</f>
        <v>200000</v>
      </c>
    </row>
    <row r="235" spans="1:18" ht="12.75">
      <c r="A235" s="1">
        <f t="shared" si="39"/>
        <v>46997</v>
      </c>
      <c r="B235" s="2">
        <f t="shared" si="40"/>
        <v>17</v>
      </c>
      <c r="C235" s="2">
        <f t="shared" si="41"/>
        <v>196</v>
      </c>
      <c r="D235" s="3">
        <f t="shared" si="38"/>
        <v>816.4823619977051</v>
      </c>
      <c r="E235" s="3">
        <f t="shared" si="36"/>
        <v>256.7990720896692</v>
      </c>
      <c r="F235" s="3">
        <f t="shared" si="42"/>
        <v>559.6832899080359</v>
      </c>
      <c r="G235" s="3">
        <f t="shared" si="43"/>
        <v>111498.09362194761</v>
      </c>
      <c r="H235" s="32"/>
      <c r="I235" s="32">
        <f>$G$39-SUM($H$39:$H235)</f>
        <v>200000</v>
      </c>
      <c r="J235" s="68"/>
      <c r="K235" s="2">
        <f t="shared" si="44"/>
        <v>17</v>
      </c>
      <c r="L235" s="2">
        <f t="shared" si="45"/>
        <v>196</v>
      </c>
      <c r="M235" s="3">
        <f>IF(L235&lt;&gt;" ",IF(P234&lt;M234,P234+N235,PMT($O$27,($N$30),-$R234))," ")</f>
        <v>773.3970181413515</v>
      </c>
      <c r="N235" s="3">
        <f t="shared" si="37"/>
        <v>217.18707758443654</v>
      </c>
      <c r="O235" s="3">
        <f t="shared" si="46"/>
        <v>556.209940556915</v>
      </c>
      <c r="P235" s="3">
        <f t="shared" si="47"/>
        <v>110964.7541592821</v>
      </c>
      <c r="Q235" s="32"/>
      <c r="R235" s="32">
        <f>$G$39-SUM($Q$39:$Q235)</f>
        <v>200000</v>
      </c>
    </row>
    <row r="236" spans="1:18" ht="12.75">
      <c r="A236" s="1">
        <f t="shared" si="39"/>
        <v>47027</v>
      </c>
      <c r="B236" s="2">
        <f t="shared" si="40"/>
        <v>17</v>
      </c>
      <c r="C236" s="2">
        <f t="shared" si="41"/>
        <v>197</v>
      </c>
      <c r="D236" s="3">
        <f t="shared" si="38"/>
        <v>816.4823619977051</v>
      </c>
      <c r="E236" s="3">
        <f t="shared" si="36"/>
        <v>255.5164645502966</v>
      </c>
      <c r="F236" s="3">
        <f t="shared" si="42"/>
        <v>560.9658974474085</v>
      </c>
      <c r="G236" s="3">
        <f t="shared" si="43"/>
        <v>110937.1277245002</v>
      </c>
      <c r="H236" s="32"/>
      <c r="I236" s="32">
        <f>$G$39-SUM($H$39:$H236)</f>
        <v>200000</v>
      </c>
      <c r="J236" s="68"/>
      <c r="K236" s="2">
        <f t="shared" si="44"/>
        <v>17</v>
      </c>
      <c r="L236" s="2">
        <f t="shared" si="45"/>
        <v>197</v>
      </c>
      <c r="M236" s="3">
        <f>IF(L236&lt;&gt;" ",IF(P235&lt;M235,P235+N236,PMT($O$27,($N$30),-$R235))," ")</f>
        <v>773.3970181413515</v>
      </c>
      <c r="N236" s="3">
        <f t="shared" si="37"/>
        <v>216.10385872520192</v>
      </c>
      <c r="O236" s="3">
        <f t="shared" si="46"/>
        <v>557.2931594161496</v>
      </c>
      <c r="P236" s="3">
        <f t="shared" si="47"/>
        <v>110407.46099986596</v>
      </c>
      <c r="Q236" s="32"/>
      <c r="R236" s="32">
        <f>$G$39-SUM($Q$39:$Q236)</f>
        <v>200000</v>
      </c>
    </row>
    <row r="237" spans="1:18" ht="12.75">
      <c r="A237" s="1">
        <f t="shared" si="39"/>
        <v>47058</v>
      </c>
      <c r="B237" s="2">
        <f t="shared" si="40"/>
        <v>17</v>
      </c>
      <c r="C237" s="2">
        <f t="shared" si="41"/>
        <v>198</v>
      </c>
      <c r="D237" s="3">
        <f t="shared" si="38"/>
        <v>816.4823619977051</v>
      </c>
      <c r="E237" s="3">
        <f t="shared" si="36"/>
        <v>254.23091770197962</v>
      </c>
      <c r="F237" s="3">
        <f t="shared" si="42"/>
        <v>562.2514442957255</v>
      </c>
      <c r="G237" s="3">
        <f t="shared" si="43"/>
        <v>110374.87628020447</v>
      </c>
      <c r="H237" s="32"/>
      <c r="I237" s="32">
        <f>$G$39-SUM($H$39:$H237)</f>
        <v>200000</v>
      </c>
      <c r="J237" s="68"/>
      <c r="K237" s="2">
        <f t="shared" si="44"/>
        <v>17</v>
      </c>
      <c r="L237" s="2">
        <f t="shared" si="45"/>
        <v>198</v>
      </c>
      <c r="M237" s="3">
        <f>IF(L237&lt;&gt;" ",IF(P236&lt;M236,P236+N237,PMT($O$27,($N$30),-$R236))," ")</f>
        <v>773.3970181413515</v>
      </c>
      <c r="N237" s="3">
        <f t="shared" si="37"/>
        <v>215.01853029723898</v>
      </c>
      <c r="O237" s="3">
        <f t="shared" si="46"/>
        <v>558.3784878441126</v>
      </c>
      <c r="P237" s="3">
        <f t="shared" si="47"/>
        <v>109849.08251202185</v>
      </c>
      <c r="Q237" s="32"/>
      <c r="R237" s="32">
        <f>$G$39-SUM($Q$39:$Q237)</f>
        <v>200000</v>
      </c>
    </row>
    <row r="238" spans="1:18" ht="12.75">
      <c r="A238" s="1">
        <f t="shared" si="39"/>
        <v>47088</v>
      </c>
      <c r="B238" s="2">
        <f t="shared" si="40"/>
        <v>17</v>
      </c>
      <c r="C238" s="2">
        <f t="shared" si="41"/>
        <v>199</v>
      </c>
      <c r="D238" s="3">
        <f t="shared" si="38"/>
        <v>816.4823619977051</v>
      </c>
      <c r="E238" s="3">
        <f t="shared" si="36"/>
        <v>252.9424248088019</v>
      </c>
      <c r="F238" s="3">
        <f t="shared" si="42"/>
        <v>563.5399371889032</v>
      </c>
      <c r="G238" s="3">
        <f t="shared" si="43"/>
        <v>109811.33634301556</v>
      </c>
      <c r="H238" s="32"/>
      <c r="I238" s="32">
        <f>$G$39-SUM($H$39:$H238)</f>
        <v>200000</v>
      </c>
      <c r="J238" s="68"/>
      <c r="K238" s="2">
        <f t="shared" si="44"/>
        <v>17</v>
      </c>
      <c r="L238" s="2">
        <f t="shared" si="45"/>
        <v>199</v>
      </c>
      <c r="M238" s="3">
        <f>IF(L238&lt;&gt;" ",IF(P237&lt;M237,P237+N238,PMT($O$27,($N$30),-$R237))," ")</f>
        <v>773.3970181413515</v>
      </c>
      <c r="N238" s="3">
        <f t="shared" si="37"/>
        <v>213.93108819216258</v>
      </c>
      <c r="O238" s="3">
        <f t="shared" si="46"/>
        <v>559.4659299491889</v>
      </c>
      <c r="P238" s="3">
        <f t="shared" si="47"/>
        <v>109289.61658207266</v>
      </c>
      <c r="Q238" s="32"/>
      <c r="R238" s="32">
        <f>$G$39-SUM($Q$39:$Q238)</f>
        <v>200000</v>
      </c>
    </row>
    <row r="239" spans="1:18" ht="12.75">
      <c r="A239" s="1">
        <f t="shared" si="39"/>
        <v>47119</v>
      </c>
      <c r="B239" s="2">
        <f t="shared" si="40"/>
        <v>17</v>
      </c>
      <c r="C239" s="2">
        <f t="shared" si="41"/>
        <v>200</v>
      </c>
      <c r="D239" s="3">
        <f t="shared" si="38"/>
        <v>816.4823619977051</v>
      </c>
      <c r="E239" s="3">
        <f t="shared" si="36"/>
        <v>251.65097911941066</v>
      </c>
      <c r="F239" s="3">
        <f t="shared" si="42"/>
        <v>564.8313828782944</v>
      </c>
      <c r="G239" s="3">
        <f t="shared" si="43"/>
        <v>109246.50496013726</v>
      </c>
      <c r="H239" s="32"/>
      <c r="I239" s="32">
        <f>$G$39-SUM($H$39:$H239)</f>
        <v>200000</v>
      </c>
      <c r="J239" s="68"/>
      <c r="K239" s="2">
        <f t="shared" si="44"/>
        <v>17</v>
      </c>
      <c r="L239" s="2">
        <f t="shared" si="45"/>
        <v>200</v>
      </c>
      <c r="M239" s="3">
        <f>IF(L239&lt;&gt;" ",IF(P238&lt;M238,P238+N239,PMT($O$27,($N$30),-$R238))," ")</f>
        <v>773.3970181413515</v>
      </c>
      <c r="N239" s="3">
        <f t="shared" si="37"/>
        <v>212.84152829358652</v>
      </c>
      <c r="O239" s="3">
        <f t="shared" si="46"/>
        <v>560.555489847765</v>
      </c>
      <c r="P239" s="3">
        <f t="shared" si="47"/>
        <v>108729.06109222489</v>
      </c>
      <c r="Q239" s="32"/>
      <c r="R239" s="32">
        <f>$G$39-SUM($Q$39:$Q239)</f>
        <v>200000</v>
      </c>
    </row>
    <row r="240" spans="1:18" ht="12.75">
      <c r="A240" s="1">
        <f t="shared" si="39"/>
        <v>47150</v>
      </c>
      <c r="B240" s="2">
        <f t="shared" si="40"/>
        <v>17</v>
      </c>
      <c r="C240" s="2">
        <f t="shared" si="41"/>
        <v>201</v>
      </c>
      <c r="D240" s="3">
        <f t="shared" si="38"/>
        <v>816.4823619977051</v>
      </c>
      <c r="E240" s="3">
        <f t="shared" si="36"/>
        <v>250.35657386698122</v>
      </c>
      <c r="F240" s="3">
        <f t="shared" si="42"/>
        <v>566.1257881307239</v>
      </c>
      <c r="G240" s="3">
        <f t="shared" si="43"/>
        <v>108680.37917200653</v>
      </c>
      <c r="H240" s="32"/>
      <c r="I240" s="32">
        <f>$G$39-SUM($H$39:$H240)</f>
        <v>200000</v>
      </c>
      <c r="J240" s="68"/>
      <c r="K240" s="2">
        <f t="shared" si="44"/>
        <v>17</v>
      </c>
      <c r="L240" s="2">
        <f t="shared" si="45"/>
        <v>201</v>
      </c>
      <c r="M240" s="3">
        <f>IF(L240&lt;&gt;" ",IF(P239&lt;M239,P239+N240,PMT($O$27,($N$30),-$R239))," ")</f>
        <v>773.3970181413515</v>
      </c>
      <c r="N240" s="3">
        <f t="shared" si="37"/>
        <v>211.749846477108</v>
      </c>
      <c r="O240" s="3">
        <f t="shared" si="46"/>
        <v>561.6471716642435</v>
      </c>
      <c r="P240" s="3">
        <f t="shared" si="47"/>
        <v>108167.41392056065</v>
      </c>
      <c r="Q240" s="32"/>
      <c r="R240" s="32">
        <f>$G$39-SUM($Q$39:$Q240)</f>
        <v>200000</v>
      </c>
    </row>
    <row r="241" spans="1:18" ht="12.75">
      <c r="A241" s="1">
        <f t="shared" si="39"/>
        <v>47178</v>
      </c>
      <c r="B241" s="2">
        <f t="shared" si="40"/>
        <v>17</v>
      </c>
      <c r="C241" s="2">
        <f t="shared" si="41"/>
        <v>202</v>
      </c>
      <c r="D241" s="3">
        <f t="shared" si="38"/>
        <v>816.4823619977051</v>
      </c>
      <c r="E241" s="3">
        <f t="shared" si="36"/>
        <v>249.05920226918164</v>
      </c>
      <c r="F241" s="3">
        <f t="shared" si="42"/>
        <v>567.4231597285234</v>
      </c>
      <c r="G241" s="3">
        <f t="shared" si="43"/>
        <v>108112.95601227801</v>
      </c>
      <c r="H241" s="32"/>
      <c r="I241" s="32">
        <f>$G$39-SUM($H$39:$H241)</f>
        <v>200000</v>
      </c>
      <c r="J241" s="68"/>
      <c r="K241" s="2">
        <f t="shared" si="44"/>
        <v>17</v>
      </c>
      <c r="L241" s="2">
        <f t="shared" si="45"/>
        <v>202</v>
      </c>
      <c r="M241" s="3">
        <f>IF(L241&lt;&gt;" ",IF(P240&lt;M240,P240+N241,PMT($O$27,($N$30),-$R240))," ")</f>
        <v>773.3970181413515</v>
      </c>
      <c r="N241" s="3">
        <f t="shared" si="37"/>
        <v>210.6560386102919</v>
      </c>
      <c r="O241" s="3">
        <f t="shared" si="46"/>
        <v>562.7409795310596</v>
      </c>
      <c r="P241" s="3">
        <f t="shared" si="47"/>
        <v>107604.6729410296</v>
      </c>
      <c r="Q241" s="32"/>
      <c r="R241" s="32">
        <f>$G$39-SUM($Q$39:$Q241)</f>
        <v>200000</v>
      </c>
    </row>
    <row r="242" spans="1:18" ht="12.75">
      <c r="A242" s="1">
        <f t="shared" si="39"/>
        <v>47209</v>
      </c>
      <c r="B242" s="2">
        <f t="shared" si="40"/>
        <v>17</v>
      </c>
      <c r="C242" s="2">
        <f t="shared" si="41"/>
        <v>203</v>
      </c>
      <c r="D242" s="3">
        <f t="shared" si="38"/>
        <v>816.4823619977051</v>
      </c>
      <c r="E242" s="3">
        <f t="shared" si="36"/>
        <v>247.7588575281371</v>
      </c>
      <c r="F242" s="3">
        <f t="shared" si="42"/>
        <v>568.723504469568</v>
      </c>
      <c r="G242" s="3">
        <f t="shared" si="43"/>
        <v>107544.23250780844</v>
      </c>
      <c r="H242" s="32"/>
      <c r="I242" s="32">
        <f>$G$39-SUM($H$39:$H242)</f>
        <v>200000</v>
      </c>
      <c r="J242" s="68"/>
      <c r="K242" s="2">
        <f t="shared" si="44"/>
        <v>17</v>
      </c>
      <c r="L242" s="2">
        <f t="shared" si="45"/>
        <v>203</v>
      </c>
      <c r="M242" s="3">
        <f>IF(L242&lt;&gt;" ",IF(P241&lt;M241,P241+N242,PMT($O$27,($N$30),-$R241))," ")</f>
        <v>773.3970181413515</v>
      </c>
      <c r="N242" s="3">
        <f t="shared" si="37"/>
        <v>209.56010055265517</v>
      </c>
      <c r="O242" s="3">
        <f t="shared" si="46"/>
        <v>563.8369175886963</v>
      </c>
      <c r="P242" s="3">
        <f t="shared" si="47"/>
        <v>107040.8360234409</v>
      </c>
      <c r="Q242" s="32"/>
      <c r="R242" s="32">
        <f>$G$39-SUM($Q$39:$Q242)</f>
        <v>200000</v>
      </c>
    </row>
    <row r="243" spans="1:18" ht="12.75">
      <c r="A243" s="1">
        <f t="shared" si="39"/>
        <v>47239</v>
      </c>
      <c r="B243" s="2">
        <f t="shared" si="40"/>
        <v>17</v>
      </c>
      <c r="C243" s="2">
        <f t="shared" si="41"/>
        <v>204</v>
      </c>
      <c r="D243" s="3">
        <f t="shared" si="38"/>
        <v>816.4823619977051</v>
      </c>
      <c r="E243" s="3">
        <f t="shared" si="36"/>
        <v>246.45553283039433</v>
      </c>
      <c r="F243" s="3">
        <f t="shared" si="42"/>
        <v>570.0268291673108</v>
      </c>
      <c r="G243" s="3">
        <f t="shared" si="43"/>
        <v>106974.20567864113</v>
      </c>
      <c r="H243" s="32"/>
      <c r="I243" s="32">
        <f>$G$39-SUM($H$39:$H243)</f>
        <v>200000</v>
      </c>
      <c r="J243" s="68"/>
      <c r="K243" s="2">
        <f t="shared" si="44"/>
        <v>17</v>
      </c>
      <c r="L243" s="2">
        <f t="shared" si="45"/>
        <v>204</v>
      </c>
      <c r="M243" s="3">
        <f>IF(L243&lt;&gt;" ",IF(P242&lt;M242,P242+N243,PMT($O$27,($N$30),-$R242))," ")</f>
        <v>773.3970181413515</v>
      </c>
      <c r="N243" s="3">
        <f t="shared" si="37"/>
        <v>208.46202815565118</v>
      </c>
      <c r="O243" s="3">
        <f t="shared" si="46"/>
        <v>564.9349899857003</v>
      </c>
      <c r="P243" s="3">
        <f t="shared" si="47"/>
        <v>106475.9010334552</v>
      </c>
      <c r="Q243" s="32"/>
      <c r="R243" s="32">
        <f>$G$39-SUM($Q$39:$Q243)</f>
        <v>200000</v>
      </c>
    </row>
    <row r="244" spans="1:18" ht="12.75">
      <c r="A244" s="1">
        <f t="shared" si="39"/>
        <v>47270</v>
      </c>
      <c r="B244" s="2">
        <f t="shared" si="40"/>
        <v>18</v>
      </c>
      <c r="C244" s="2">
        <f t="shared" si="41"/>
        <v>205</v>
      </c>
      <c r="D244" s="3">
        <f t="shared" si="38"/>
        <v>816.4823619977051</v>
      </c>
      <c r="E244" s="3">
        <f t="shared" si="36"/>
        <v>245.14922134688592</v>
      </c>
      <c r="F244" s="3">
        <f t="shared" si="42"/>
        <v>571.3331406508191</v>
      </c>
      <c r="G244" s="3">
        <f t="shared" si="43"/>
        <v>106402.8725379903</v>
      </c>
      <c r="H244" s="32"/>
      <c r="I244" s="32">
        <f>$G$39-SUM($H$39:$H244)</f>
        <v>200000</v>
      </c>
      <c r="J244" s="68"/>
      <c r="K244" s="2">
        <f t="shared" si="44"/>
        <v>18</v>
      </c>
      <c r="L244" s="2">
        <f t="shared" si="45"/>
        <v>205</v>
      </c>
      <c r="M244" s="3">
        <f>IF(L244&lt;&gt;" ",IF(P243&lt;M243,P243+N244,PMT($O$27,($N$30),-$R243))," ")</f>
        <v>773.3970181413515</v>
      </c>
      <c r="N244" s="3">
        <f t="shared" si="37"/>
        <v>207.36181726265403</v>
      </c>
      <c r="O244" s="3">
        <f t="shared" si="46"/>
        <v>566.0352008786974</v>
      </c>
      <c r="P244" s="3">
        <f t="shared" si="47"/>
        <v>105909.8658325765</v>
      </c>
      <c r="Q244" s="32"/>
      <c r="R244" s="32">
        <f>$G$39-SUM($Q$39:$Q244)</f>
        <v>200000</v>
      </c>
    </row>
    <row r="245" spans="1:18" ht="12.75">
      <c r="A245" s="1">
        <f t="shared" si="39"/>
        <v>47300</v>
      </c>
      <c r="B245" s="2">
        <f t="shared" si="40"/>
        <v>18</v>
      </c>
      <c r="C245" s="2">
        <f t="shared" si="41"/>
        <v>206</v>
      </c>
      <c r="D245" s="3">
        <f t="shared" si="38"/>
        <v>816.4823619977051</v>
      </c>
      <c r="E245" s="3">
        <f aca="true" t="shared" si="48" ref="E245:E308">IF(C245&lt;&gt;" ",G244*$F$27," ")</f>
        <v>243.83991623289444</v>
      </c>
      <c r="F245" s="3">
        <f t="shared" si="42"/>
        <v>572.6424457648106</v>
      </c>
      <c r="G245" s="3">
        <f t="shared" si="43"/>
        <v>105830.2300922255</v>
      </c>
      <c r="H245" s="32"/>
      <c r="I245" s="32">
        <f>$G$39-SUM($H$39:$H245)</f>
        <v>200000</v>
      </c>
      <c r="J245" s="68"/>
      <c r="K245" s="2">
        <f t="shared" si="44"/>
        <v>18</v>
      </c>
      <c r="L245" s="2">
        <f t="shared" si="45"/>
        <v>206</v>
      </c>
      <c r="M245" s="3">
        <f>IF(L245&lt;&gt;" ",IF(P244&lt;M244,P244+N245,PMT($O$27,($N$30),-$R244))," ")</f>
        <v>773.3970181413515</v>
      </c>
      <c r="N245" s="3">
        <f aca="true" t="shared" si="49" ref="N245:N308">IF(L245&lt;&gt;" ",P244*$O$27," ")</f>
        <v>206.25946370894275</v>
      </c>
      <c r="O245" s="3">
        <f t="shared" si="46"/>
        <v>567.1375544324087</v>
      </c>
      <c r="P245" s="3">
        <f t="shared" si="47"/>
        <v>105342.72827814409</v>
      </c>
      <c r="Q245" s="32"/>
      <c r="R245" s="32">
        <f>$G$39-SUM($Q$39:$Q245)</f>
        <v>200000</v>
      </c>
    </row>
    <row r="246" spans="1:18" ht="12.75">
      <c r="A246" s="1">
        <f t="shared" si="39"/>
        <v>47331</v>
      </c>
      <c r="B246" s="2">
        <f t="shared" si="40"/>
        <v>18</v>
      </c>
      <c r="C246" s="2">
        <f t="shared" si="41"/>
        <v>207</v>
      </c>
      <c r="D246" s="3">
        <f t="shared" si="38"/>
        <v>816.4823619977051</v>
      </c>
      <c r="E246" s="3">
        <f t="shared" si="48"/>
        <v>242.52761062801676</v>
      </c>
      <c r="F246" s="3">
        <f t="shared" si="42"/>
        <v>573.9547513696883</v>
      </c>
      <c r="G246" s="3">
        <f t="shared" si="43"/>
        <v>105256.2753408558</v>
      </c>
      <c r="H246" s="32"/>
      <c r="I246" s="32">
        <f>$G$39-SUM($H$39:$H246)</f>
        <v>200000</v>
      </c>
      <c r="J246" s="68"/>
      <c r="K246" s="2">
        <f t="shared" si="44"/>
        <v>18</v>
      </c>
      <c r="L246" s="2">
        <f t="shared" si="45"/>
        <v>207</v>
      </c>
      <c r="M246" s="3">
        <f>IF(L246&lt;&gt;" ",IF(P245&lt;M245,P245+N246,PMT($O$27,($N$30),-$R245))," ")</f>
        <v>773.3970181413515</v>
      </c>
      <c r="N246" s="3">
        <f t="shared" si="49"/>
        <v>205.15496332168564</v>
      </c>
      <c r="O246" s="3">
        <f t="shared" si="46"/>
        <v>568.2420548196659</v>
      </c>
      <c r="P246" s="3">
        <f t="shared" si="47"/>
        <v>104774.48622332442</v>
      </c>
      <c r="Q246" s="32"/>
      <c r="R246" s="32">
        <f>$G$39-SUM($Q$39:$Q246)</f>
        <v>200000</v>
      </c>
    </row>
    <row r="247" spans="1:18" ht="12.75">
      <c r="A247" s="1">
        <f t="shared" si="39"/>
        <v>47362</v>
      </c>
      <c r="B247" s="2">
        <f t="shared" si="40"/>
        <v>18</v>
      </c>
      <c r="C247" s="2">
        <f t="shared" si="41"/>
        <v>208</v>
      </c>
      <c r="D247" s="3">
        <f t="shared" si="38"/>
        <v>816.4823619977051</v>
      </c>
      <c r="E247" s="3">
        <f t="shared" si="48"/>
        <v>241.2122976561279</v>
      </c>
      <c r="F247" s="3">
        <f t="shared" si="42"/>
        <v>575.2700643415772</v>
      </c>
      <c r="G247" s="3">
        <f t="shared" si="43"/>
        <v>104681.00527651423</v>
      </c>
      <c r="H247" s="32"/>
      <c r="I247" s="32">
        <f>$G$39-SUM($H$39:$H247)</f>
        <v>200000</v>
      </c>
      <c r="J247" s="68"/>
      <c r="K247" s="2">
        <f t="shared" si="44"/>
        <v>18</v>
      </c>
      <c r="L247" s="2">
        <f t="shared" si="45"/>
        <v>208</v>
      </c>
      <c r="M247" s="3">
        <f>IF(L247&lt;&gt;" ",IF(P246&lt;M246,P246+N247,PMT($O$27,($N$30),-$R246))," ")</f>
        <v>773.3970181413515</v>
      </c>
      <c r="N247" s="3">
        <f t="shared" si="49"/>
        <v>204.04831191992434</v>
      </c>
      <c r="O247" s="3">
        <f t="shared" si="46"/>
        <v>569.3487062214272</v>
      </c>
      <c r="P247" s="3">
        <f t="shared" si="47"/>
        <v>104205.137517103</v>
      </c>
      <c r="Q247" s="32"/>
      <c r="R247" s="32">
        <f>$G$39-SUM($Q$39:$Q247)</f>
        <v>200000</v>
      </c>
    </row>
    <row r="248" spans="1:18" ht="12.75">
      <c r="A248" s="1">
        <f t="shared" si="39"/>
        <v>47392</v>
      </c>
      <c r="B248" s="2">
        <f t="shared" si="40"/>
        <v>18</v>
      </c>
      <c r="C248" s="2">
        <f t="shared" si="41"/>
        <v>209</v>
      </c>
      <c r="D248" s="3">
        <f aca="true" t="shared" si="50" ref="D248:D311">IF(C248&lt;&gt;" ",IF(G247&lt;D247,G247+E248,PMT($F$27,($E$30),-I247))," ")</f>
        <v>816.4823619977051</v>
      </c>
      <c r="E248" s="3">
        <f t="shared" si="48"/>
        <v>239.89397042534512</v>
      </c>
      <c r="F248" s="3">
        <f t="shared" si="42"/>
        <v>576.58839157236</v>
      </c>
      <c r="G248" s="3">
        <f t="shared" si="43"/>
        <v>104104.41688494188</v>
      </c>
      <c r="H248" s="32"/>
      <c r="I248" s="32">
        <f>$G$39-SUM($H$39:$H248)</f>
        <v>200000</v>
      </c>
      <c r="J248" s="68"/>
      <c r="K248" s="2">
        <f t="shared" si="44"/>
        <v>18</v>
      </c>
      <c r="L248" s="2">
        <f t="shared" si="45"/>
        <v>209</v>
      </c>
      <c r="M248" s="3">
        <f>IF(L248&lt;&gt;" ",IF(P247&lt;M247,P247+N248,PMT($O$27,($N$30),-$R247))," ")</f>
        <v>773.3970181413515</v>
      </c>
      <c r="N248" s="3">
        <f t="shared" si="49"/>
        <v>202.93950531455812</v>
      </c>
      <c r="O248" s="3">
        <f t="shared" si="46"/>
        <v>570.4575128267934</v>
      </c>
      <c r="P248" s="3">
        <f t="shared" si="47"/>
        <v>103634.6800042762</v>
      </c>
      <c r="Q248" s="32"/>
      <c r="R248" s="32">
        <f>$G$39-SUM($Q$39:$Q248)</f>
        <v>200000</v>
      </c>
    </row>
    <row r="249" spans="1:18" ht="12.75">
      <c r="A249" s="1">
        <f t="shared" si="39"/>
        <v>47423</v>
      </c>
      <c r="B249" s="2">
        <f t="shared" si="40"/>
        <v>18</v>
      </c>
      <c r="C249" s="2">
        <f t="shared" si="41"/>
        <v>210</v>
      </c>
      <c r="D249" s="3">
        <f t="shared" si="50"/>
        <v>816.4823619977051</v>
      </c>
      <c r="E249" s="3">
        <f t="shared" si="48"/>
        <v>238.5726220279918</v>
      </c>
      <c r="F249" s="3">
        <f t="shared" si="42"/>
        <v>577.9097399697133</v>
      </c>
      <c r="G249" s="3">
        <f t="shared" si="43"/>
        <v>103526.50714497216</v>
      </c>
      <c r="H249" s="32"/>
      <c r="I249" s="32">
        <f>$G$39-SUM($H$39:$H249)</f>
        <v>200000</v>
      </c>
      <c r="J249" s="68"/>
      <c r="K249" s="2">
        <f t="shared" si="44"/>
        <v>18</v>
      </c>
      <c r="L249" s="2">
        <f t="shared" si="45"/>
        <v>210</v>
      </c>
      <c r="M249" s="3">
        <f>IF(L249&lt;&gt;" ",IF(P248&lt;M248,P248+N249,PMT($O$27,($N$30),-$R248))," ")</f>
        <v>773.3970181413515</v>
      </c>
      <c r="N249" s="3">
        <f t="shared" si="49"/>
        <v>201.82853930832792</v>
      </c>
      <c r="O249" s="3">
        <f t="shared" si="46"/>
        <v>571.5684788330236</v>
      </c>
      <c r="P249" s="3">
        <f t="shared" si="47"/>
        <v>103063.11152544318</v>
      </c>
      <c r="Q249" s="32"/>
      <c r="R249" s="32">
        <f>$G$39-SUM($Q$39:$Q249)</f>
        <v>200000</v>
      </c>
    </row>
    <row r="250" spans="1:18" ht="12.75">
      <c r="A250" s="1">
        <f t="shared" si="39"/>
        <v>47453</v>
      </c>
      <c r="B250" s="2">
        <f t="shared" si="40"/>
        <v>18</v>
      </c>
      <c r="C250" s="2">
        <f t="shared" si="41"/>
        <v>211</v>
      </c>
      <c r="D250" s="3">
        <f t="shared" si="50"/>
        <v>816.4823619977051</v>
      </c>
      <c r="E250" s="3">
        <f t="shared" si="48"/>
        <v>237.2482455405612</v>
      </c>
      <c r="F250" s="3">
        <f t="shared" si="42"/>
        <v>579.234116457144</v>
      </c>
      <c r="G250" s="3">
        <f t="shared" si="43"/>
        <v>102947.27302851502</v>
      </c>
      <c r="H250" s="32"/>
      <c r="I250" s="32">
        <f>$G$39-SUM($H$39:$H250)</f>
        <v>200000</v>
      </c>
      <c r="J250" s="68"/>
      <c r="K250" s="2">
        <f t="shared" si="44"/>
        <v>18</v>
      </c>
      <c r="L250" s="2">
        <f t="shared" si="45"/>
        <v>211</v>
      </c>
      <c r="M250" s="3">
        <f>IF(L250&lt;&gt;" ",IF(P249&lt;M249,P249+N250,PMT($O$27,($N$30),-$R249))," ")</f>
        <v>773.3970181413515</v>
      </c>
      <c r="N250" s="3">
        <f t="shared" si="49"/>
        <v>200.71540969580062</v>
      </c>
      <c r="O250" s="3">
        <f t="shared" si="46"/>
        <v>572.6816084455509</v>
      </c>
      <c r="P250" s="3">
        <f t="shared" si="47"/>
        <v>102490.42991699763</v>
      </c>
      <c r="Q250" s="32"/>
      <c r="R250" s="32">
        <f>$G$39-SUM($Q$39:$Q250)</f>
        <v>200000</v>
      </c>
    </row>
    <row r="251" spans="1:18" ht="12.75">
      <c r="A251" s="1">
        <f t="shared" si="39"/>
        <v>47484</v>
      </c>
      <c r="B251" s="2">
        <f t="shared" si="40"/>
        <v>18</v>
      </c>
      <c r="C251" s="2">
        <f t="shared" si="41"/>
        <v>212</v>
      </c>
      <c r="D251" s="3">
        <f t="shared" si="50"/>
        <v>816.4823619977051</v>
      </c>
      <c r="E251" s="3">
        <f t="shared" si="48"/>
        <v>235.92083402368024</v>
      </c>
      <c r="F251" s="3">
        <f t="shared" si="42"/>
        <v>580.5615279740248</v>
      </c>
      <c r="G251" s="3">
        <f t="shared" si="43"/>
        <v>102366.71150054099</v>
      </c>
      <c r="H251" s="32"/>
      <c r="I251" s="32">
        <f>$G$39-SUM($H$39:$H251)</f>
        <v>200000</v>
      </c>
      <c r="J251" s="68"/>
      <c r="K251" s="2">
        <f t="shared" si="44"/>
        <v>18</v>
      </c>
      <c r="L251" s="2">
        <f t="shared" si="45"/>
        <v>212</v>
      </c>
      <c r="M251" s="3">
        <f>IF(L251&lt;&gt;" ",IF(P250&lt;M250,P250+N251,PMT($O$27,($N$30),-$R250))," ")</f>
        <v>773.3970181413515</v>
      </c>
      <c r="N251" s="3">
        <f t="shared" si="49"/>
        <v>199.6001122633529</v>
      </c>
      <c r="O251" s="3">
        <f t="shared" si="46"/>
        <v>573.7969058779986</v>
      </c>
      <c r="P251" s="3">
        <f t="shared" si="47"/>
        <v>101916.63301111963</v>
      </c>
      <c r="Q251" s="32"/>
      <c r="R251" s="32">
        <f>$G$39-SUM($Q$39:$Q251)</f>
        <v>200000</v>
      </c>
    </row>
    <row r="252" spans="1:18" ht="12.75">
      <c r="A252" s="1">
        <f t="shared" si="39"/>
        <v>47515</v>
      </c>
      <c r="B252" s="2">
        <f t="shared" si="40"/>
        <v>18</v>
      </c>
      <c r="C252" s="2">
        <f t="shared" si="41"/>
        <v>213</v>
      </c>
      <c r="D252" s="3">
        <f t="shared" si="50"/>
        <v>816.4823619977051</v>
      </c>
      <c r="E252" s="3">
        <f t="shared" si="48"/>
        <v>234.5903805220731</v>
      </c>
      <c r="F252" s="3">
        <f t="shared" si="42"/>
        <v>581.891981475632</v>
      </c>
      <c r="G252" s="3">
        <f t="shared" si="43"/>
        <v>101784.81951906535</v>
      </c>
      <c r="H252" s="32"/>
      <c r="I252" s="32">
        <f>$G$39-SUM($H$39:$H252)</f>
        <v>200000</v>
      </c>
      <c r="J252" s="68"/>
      <c r="K252" s="2">
        <f t="shared" si="44"/>
        <v>18</v>
      </c>
      <c r="L252" s="2">
        <f t="shared" si="45"/>
        <v>213</v>
      </c>
      <c r="M252" s="3">
        <f>IF(L252&lt;&gt;" ",IF(P251&lt;M251,P251+N252,PMT($O$27,($N$30),-$R251))," ")</f>
        <v>773.3970181413515</v>
      </c>
      <c r="N252" s="3">
        <f t="shared" si="49"/>
        <v>198.4826427891555</v>
      </c>
      <c r="O252" s="3">
        <f t="shared" si="46"/>
        <v>574.914375352196</v>
      </c>
      <c r="P252" s="3">
        <f t="shared" si="47"/>
        <v>101341.71863576744</v>
      </c>
      <c r="Q252" s="32"/>
      <c r="R252" s="32">
        <f>$G$39-SUM($Q$39:$Q252)</f>
        <v>200000</v>
      </c>
    </row>
    <row r="253" spans="1:18" ht="12.75">
      <c r="A253" s="1">
        <f t="shared" si="39"/>
        <v>47543</v>
      </c>
      <c r="B253" s="2">
        <f t="shared" si="40"/>
        <v>18</v>
      </c>
      <c r="C253" s="2">
        <f t="shared" si="41"/>
        <v>214</v>
      </c>
      <c r="D253" s="3">
        <f t="shared" si="50"/>
        <v>816.4823619977051</v>
      </c>
      <c r="E253" s="3">
        <f t="shared" si="48"/>
        <v>233.25687806452476</v>
      </c>
      <c r="F253" s="3">
        <f t="shared" si="42"/>
        <v>583.2254839331804</v>
      </c>
      <c r="G253" s="3">
        <f t="shared" si="43"/>
        <v>101201.59403513216</v>
      </c>
      <c r="H253" s="32"/>
      <c r="I253" s="32">
        <f>$G$39-SUM($H$39:$H253)</f>
        <v>200000</v>
      </c>
      <c r="J253" s="68"/>
      <c r="K253" s="2">
        <f t="shared" si="44"/>
        <v>18</v>
      </c>
      <c r="L253" s="2">
        <f t="shared" si="45"/>
        <v>214</v>
      </c>
      <c r="M253" s="3">
        <f>IF(L253&lt;&gt;" ",IF(P252&lt;M252,P252+N253,PMT($O$27,($N$30),-$R252))," ")</f>
        <v>773.3970181413515</v>
      </c>
      <c r="N253" s="3">
        <f t="shared" si="49"/>
        <v>197.3629970431571</v>
      </c>
      <c r="O253" s="3">
        <f t="shared" si="46"/>
        <v>576.0340210981944</v>
      </c>
      <c r="P253" s="3">
        <f t="shared" si="47"/>
        <v>100765.68461466924</v>
      </c>
      <c r="Q253" s="32"/>
      <c r="R253" s="32">
        <f>$G$39-SUM($Q$39:$Q253)</f>
        <v>200000</v>
      </c>
    </row>
    <row r="254" spans="1:18" ht="12.75">
      <c r="A254" s="1">
        <f t="shared" si="39"/>
        <v>47574</v>
      </c>
      <c r="B254" s="2">
        <f t="shared" si="40"/>
        <v>18</v>
      </c>
      <c r="C254" s="2">
        <f t="shared" si="41"/>
        <v>215</v>
      </c>
      <c r="D254" s="3">
        <f t="shared" si="50"/>
        <v>816.4823619977051</v>
      </c>
      <c r="E254" s="3">
        <f t="shared" si="48"/>
        <v>231.92031966384454</v>
      </c>
      <c r="F254" s="3">
        <f t="shared" si="42"/>
        <v>584.5620423338605</v>
      </c>
      <c r="G254" s="3">
        <f t="shared" si="43"/>
        <v>100617.03199279831</v>
      </c>
      <c r="H254" s="32"/>
      <c r="I254" s="32">
        <f>$G$39-SUM($H$39:$H254)</f>
        <v>200000</v>
      </c>
      <c r="J254" s="68"/>
      <c r="K254" s="2">
        <f t="shared" si="44"/>
        <v>18</v>
      </c>
      <c r="L254" s="2">
        <f t="shared" si="45"/>
        <v>215</v>
      </c>
      <c r="M254" s="3">
        <f>IF(L254&lt;&gt;" ",IF(P253&lt;M253,P253+N254,PMT($O$27,($N$30),-$R253))," ")</f>
        <v>773.3970181413515</v>
      </c>
      <c r="N254" s="3">
        <f t="shared" si="49"/>
        <v>196.24117078706837</v>
      </c>
      <c r="O254" s="3">
        <f t="shared" si="46"/>
        <v>577.1558473542832</v>
      </c>
      <c r="P254" s="3">
        <f t="shared" si="47"/>
        <v>100188.52876731496</v>
      </c>
      <c r="Q254" s="32"/>
      <c r="R254" s="32">
        <f>$G$39-SUM($Q$39:$Q254)</f>
        <v>200000</v>
      </c>
    </row>
    <row r="255" spans="1:18" ht="12.75">
      <c r="A255" s="1">
        <f t="shared" si="39"/>
        <v>47604</v>
      </c>
      <c r="B255" s="2">
        <f t="shared" si="40"/>
        <v>18</v>
      </c>
      <c r="C255" s="2">
        <f t="shared" si="41"/>
        <v>216</v>
      </c>
      <c r="D255" s="3">
        <f t="shared" si="50"/>
        <v>816.4823619977051</v>
      </c>
      <c r="E255" s="3">
        <f t="shared" si="48"/>
        <v>230.58069831682946</v>
      </c>
      <c r="F255" s="3">
        <f t="shared" si="42"/>
        <v>585.9016636808756</v>
      </c>
      <c r="G255" s="3">
        <f t="shared" si="43"/>
        <v>100031.13032911743</v>
      </c>
      <c r="H255" s="32"/>
      <c r="I255" s="32">
        <f>$G$39-SUM($H$39:$H255)</f>
        <v>200000</v>
      </c>
      <c r="J255" s="68"/>
      <c r="K255" s="2">
        <f t="shared" si="44"/>
        <v>18</v>
      </c>
      <c r="L255" s="2">
        <f t="shared" si="45"/>
        <v>216</v>
      </c>
      <c r="M255" s="3">
        <f>IF(L255&lt;&gt;" ",IF(P254&lt;M254,P254+N255,PMT($O$27,($N$30),-$R254))," ")</f>
        <v>773.3970181413515</v>
      </c>
      <c r="N255" s="3">
        <f t="shared" si="49"/>
        <v>195.1171597743459</v>
      </c>
      <c r="O255" s="3">
        <f t="shared" si="46"/>
        <v>578.2798583670055</v>
      </c>
      <c r="P255" s="3">
        <f t="shared" si="47"/>
        <v>99610.24890894795</v>
      </c>
      <c r="Q255" s="32"/>
      <c r="R255" s="32">
        <f>$G$39-SUM($Q$39:$Q255)</f>
        <v>200000</v>
      </c>
    </row>
    <row r="256" spans="1:18" ht="12.75">
      <c r="A256" s="1">
        <f t="shared" si="39"/>
        <v>47635</v>
      </c>
      <c r="B256" s="2">
        <f t="shared" si="40"/>
        <v>19</v>
      </c>
      <c r="C256" s="2">
        <f t="shared" si="41"/>
        <v>217</v>
      </c>
      <c r="D256" s="3">
        <f t="shared" si="50"/>
        <v>816.4823619977051</v>
      </c>
      <c r="E256" s="3">
        <f t="shared" si="48"/>
        <v>229.23800700422743</v>
      </c>
      <c r="F256" s="3">
        <f t="shared" si="42"/>
        <v>587.2443549934776</v>
      </c>
      <c r="G256" s="3">
        <f t="shared" si="43"/>
        <v>99443.88597412394</v>
      </c>
      <c r="H256" s="32"/>
      <c r="I256" s="32">
        <f>$G$39-SUM($H$39:$H256)</f>
        <v>200000</v>
      </c>
      <c r="J256" s="68"/>
      <c r="K256" s="2">
        <f t="shared" si="44"/>
        <v>19</v>
      </c>
      <c r="L256" s="2">
        <f t="shared" si="45"/>
        <v>217</v>
      </c>
      <c r="M256" s="3">
        <f>IF(L256&lt;&gt;" ",IF(P255&lt;M255,P255+N256,PMT($O$27,($N$30),-$R255))," ")</f>
        <v>773.3970181413515</v>
      </c>
      <c r="N256" s="3">
        <f t="shared" si="49"/>
        <v>193.99095975017616</v>
      </c>
      <c r="O256" s="3">
        <f t="shared" si="46"/>
        <v>579.4060583911753</v>
      </c>
      <c r="P256" s="3">
        <f t="shared" si="47"/>
        <v>99030.84285055677</v>
      </c>
      <c r="Q256" s="32"/>
      <c r="R256" s="32">
        <f>$G$39-SUM($Q$39:$Q256)</f>
        <v>200000</v>
      </c>
    </row>
    <row r="257" spans="1:18" ht="12.75">
      <c r="A257" s="1">
        <f t="shared" si="39"/>
        <v>47665</v>
      </c>
      <c r="B257" s="2">
        <f t="shared" si="40"/>
        <v>19</v>
      </c>
      <c r="C257" s="2">
        <f t="shared" si="41"/>
        <v>218</v>
      </c>
      <c r="D257" s="3">
        <f t="shared" si="50"/>
        <v>816.4823619977051</v>
      </c>
      <c r="E257" s="3">
        <f t="shared" si="48"/>
        <v>227.8922386907007</v>
      </c>
      <c r="F257" s="3">
        <f t="shared" si="42"/>
        <v>588.5901233070044</v>
      </c>
      <c r="G257" s="3">
        <f t="shared" si="43"/>
        <v>98855.29585081694</v>
      </c>
      <c r="H257" s="32"/>
      <c r="I257" s="32">
        <f>$G$39-SUM($H$39:$H257)</f>
        <v>200000</v>
      </c>
      <c r="J257" s="68"/>
      <c r="K257" s="2">
        <f t="shared" si="44"/>
        <v>19</v>
      </c>
      <c r="L257" s="2">
        <f t="shared" si="45"/>
        <v>218</v>
      </c>
      <c r="M257" s="3">
        <f>IF(L257&lt;&gt;" ",IF(P256&lt;M256,P256+N257,PMT($O$27,($N$30),-$R256))," ")</f>
        <v>773.3970181413515</v>
      </c>
      <c r="N257" s="3">
        <f t="shared" si="49"/>
        <v>192.86256645145934</v>
      </c>
      <c r="O257" s="3">
        <f t="shared" si="46"/>
        <v>580.5344516898922</v>
      </c>
      <c r="P257" s="3">
        <f t="shared" si="47"/>
        <v>98450.30839886688</v>
      </c>
      <c r="Q257" s="32"/>
      <c r="R257" s="32">
        <f>$G$39-SUM($Q$39:$Q257)</f>
        <v>200000</v>
      </c>
    </row>
    <row r="258" spans="1:18" ht="12.75">
      <c r="A258" s="1">
        <f t="shared" si="39"/>
        <v>47696</v>
      </c>
      <c r="B258" s="2">
        <f t="shared" si="40"/>
        <v>19</v>
      </c>
      <c r="C258" s="2">
        <f t="shared" si="41"/>
        <v>219</v>
      </c>
      <c r="D258" s="3">
        <f t="shared" si="50"/>
        <v>816.4823619977051</v>
      </c>
      <c r="E258" s="3">
        <f t="shared" si="48"/>
        <v>226.54338632478883</v>
      </c>
      <c r="F258" s="3">
        <f t="shared" si="42"/>
        <v>589.9389756729163</v>
      </c>
      <c r="G258" s="3">
        <f t="shared" si="43"/>
        <v>98265.35687514402</v>
      </c>
      <c r="H258" s="32"/>
      <c r="I258" s="32">
        <f>$G$39-SUM($H$39:$H258)</f>
        <v>200000</v>
      </c>
      <c r="J258" s="68"/>
      <c r="K258" s="2">
        <f t="shared" si="44"/>
        <v>19</v>
      </c>
      <c r="L258" s="2">
        <f t="shared" si="45"/>
        <v>219</v>
      </c>
      <c r="M258" s="3">
        <f>IF(L258&lt;&gt;" ",IF(P257&lt;M257,P257+N258,PMT($O$27,($N$30),-$R257))," ")</f>
        <v>773.3970181413515</v>
      </c>
      <c r="N258" s="3">
        <f t="shared" si="49"/>
        <v>191.73197560679327</v>
      </c>
      <c r="O258" s="3">
        <f t="shared" si="46"/>
        <v>581.6650425345582</v>
      </c>
      <c r="P258" s="3">
        <f t="shared" si="47"/>
        <v>97868.64335633232</v>
      </c>
      <c r="Q258" s="32"/>
      <c r="R258" s="32">
        <f>$G$39-SUM($Q$39:$Q258)</f>
        <v>200000</v>
      </c>
    </row>
    <row r="259" spans="1:18" ht="12.75">
      <c r="A259" s="1">
        <f t="shared" si="39"/>
        <v>47727</v>
      </c>
      <c r="B259" s="2">
        <f t="shared" si="40"/>
        <v>19</v>
      </c>
      <c r="C259" s="2">
        <f t="shared" si="41"/>
        <v>220</v>
      </c>
      <c r="D259" s="3">
        <f t="shared" si="50"/>
        <v>816.4823619977051</v>
      </c>
      <c r="E259" s="3">
        <f t="shared" si="48"/>
        <v>225.19144283887172</v>
      </c>
      <c r="F259" s="3">
        <f t="shared" si="42"/>
        <v>591.2909191588334</v>
      </c>
      <c r="G259" s="3">
        <f t="shared" si="43"/>
        <v>97674.06595598518</v>
      </c>
      <c r="H259" s="32"/>
      <c r="I259" s="32">
        <f>$G$39-SUM($H$39:$H259)</f>
        <v>200000</v>
      </c>
      <c r="J259" s="68"/>
      <c r="K259" s="2">
        <f t="shared" si="44"/>
        <v>19</v>
      </c>
      <c r="L259" s="2">
        <f t="shared" si="45"/>
        <v>220</v>
      </c>
      <c r="M259" s="3">
        <f>IF(L259&lt;&gt;" ",IF(P258&lt;M258,P258+N259,PMT($O$27,($N$30),-$R258))," ")</f>
        <v>773.3970181413515</v>
      </c>
      <c r="N259" s="3">
        <f t="shared" si="49"/>
        <v>190.59918293645723</v>
      </c>
      <c r="O259" s="3">
        <f t="shared" si="46"/>
        <v>582.7978352048942</v>
      </c>
      <c r="P259" s="3">
        <f t="shared" si="47"/>
        <v>97285.84552112743</v>
      </c>
      <c r="Q259" s="32"/>
      <c r="R259" s="32">
        <f>$G$39-SUM($Q$39:$Q259)</f>
        <v>200000</v>
      </c>
    </row>
    <row r="260" spans="1:18" ht="12.75">
      <c r="A260" s="1">
        <f t="shared" si="39"/>
        <v>47757</v>
      </c>
      <c r="B260" s="2">
        <f t="shared" si="40"/>
        <v>19</v>
      </c>
      <c r="C260" s="2">
        <f t="shared" si="41"/>
        <v>221</v>
      </c>
      <c r="D260" s="3">
        <f t="shared" si="50"/>
        <v>816.4823619977051</v>
      </c>
      <c r="E260" s="3">
        <f t="shared" si="48"/>
        <v>223.8364011491327</v>
      </c>
      <c r="F260" s="3">
        <f t="shared" si="42"/>
        <v>592.6459608485724</v>
      </c>
      <c r="G260" s="3">
        <f t="shared" si="43"/>
        <v>97081.4199951366</v>
      </c>
      <c r="H260" s="32"/>
      <c r="I260" s="32">
        <f>$G$39-SUM($H$39:$H260)</f>
        <v>200000</v>
      </c>
      <c r="J260" s="68"/>
      <c r="K260" s="2">
        <f t="shared" si="44"/>
        <v>19</v>
      </c>
      <c r="L260" s="2">
        <f t="shared" si="45"/>
        <v>221</v>
      </c>
      <c r="M260" s="3">
        <f>IF(L260&lt;&gt;" ",IF(P259&lt;M259,P259+N260,PMT($O$27,($N$30),-$R259))," ")</f>
        <v>773.3970181413515</v>
      </c>
      <c r="N260" s="3">
        <f t="shared" si="49"/>
        <v>189.4641841523957</v>
      </c>
      <c r="O260" s="3">
        <f t="shared" si="46"/>
        <v>583.9328339889558</v>
      </c>
      <c r="P260" s="3">
        <f t="shared" si="47"/>
        <v>96701.91268713847</v>
      </c>
      <c r="Q260" s="32"/>
      <c r="R260" s="32">
        <f>$G$39-SUM($Q$39:$Q260)</f>
        <v>200000</v>
      </c>
    </row>
    <row r="261" spans="1:18" ht="12.75">
      <c r="A261" s="1">
        <f t="shared" si="39"/>
        <v>47788</v>
      </c>
      <c r="B261" s="2">
        <f t="shared" si="40"/>
        <v>19</v>
      </c>
      <c r="C261" s="2">
        <f t="shared" si="41"/>
        <v>222</v>
      </c>
      <c r="D261" s="3">
        <f t="shared" si="50"/>
        <v>816.4823619977051</v>
      </c>
      <c r="E261" s="3">
        <f t="shared" si="48"/>
        <v>222.47825415552137</v>
      </c>
      <c r="F261" s="3">
        <f t="shared" si="42"/>
        <v>594.0041078421837</v>
      </c>
      <c r="G261" s="3">
        <f t="shared" si="43"/>
        <v>96487.41588729442</v>
      </c>
      <c r="H261" s="32"/>
      <c r="I261" s="32">
        <f>$G$39-SUM($H$39:$H261)</f>
        <v>200000</v>
      </c>
      <c r="J261" s="68"/>
      <c r="K261" s="2">
        <f t="shared" si="44"/>
        <v>19</v>
      </c>
      <c r="L261" s="2">
        <f t="shared" si="45"/>
        <v>222</v>
      </c>
      <c r="M261" s="3">
        <f>IF(L261&lt;&gt;" ",IF(P260&lt;M260,P260+N261,PMT($O$27,($N$30),-$R260))," ")</f>
        <v>773.3970181413515</v>
      </c>
      <c r="N261" s="3">
        <f t="shared" si="49"/>
        <v>188.3269749582022</v>
      </c>
      <c r="O261" s="3">
        <f t="shared" si="46"/>
        <v>585.0700431831493</v>
      </c>
      <c r="P261" s="3">
        <f t="shared" si="47"/>
        <v>96116.84264395531</v>
      </c>
      <c r="Q261" s="32"/>
      <c r="R261" s="32">
        <f>$G$39-SUM($Q$39:$Q261)</f>
        <v>200000</v>
      </c>
    </row>
    <row r="262" spans="1:18" ht="12.75">
      <c r="A262" s="1">
        <f t="shared" si="39"/>
        <v>47818</v>
      </c>
      <c r="B262" s="2">
        <f t="shared" si="40"/>
        <v>19</v>
      </c>
      <c r="C262" s="2">
        <f t="shared" si="41"/>
        <v>223</v>
      </c>
      <c r="D262" s="3">
        <f t="shared" si="50"/>
        <v>816.4823619977051</v>
      </c>
      <c r="E262" s="3">
        <f t="shared" si="48"/>
        <v>221.11699474171638</v>
      </c>
      <c r="F262" s="3">
        <f t="shared" si="42"/>
        <v>595.3653672559888</v>
      </c>
      <c r="G262" s="3">
        <f t="shared" si="43"/>
        <v>95892.05052003844</v>
      </c>
      <c r="H262" s="32"/>
      <c r="I262" s="32">
        <f>$G$39-SUM($H$39:$H262)</f>
        <v>200000</v>
      </c>
      <c r="J262" s="68"/>
      <c r="K262" s="2">
        <f t="shared" si="44"/>
        <v>19</v>
      </c>
      <c r="L262" s="2">
        <f t="shared" si="45"/>
        <v>223</v>
      </c>
      <c r="M262" s="3">
        <f>IF(L262&lt;&gt;" ",IF(P261&lt;M261,P261+N262,PMT($O$27,($N$30),-$R261))," ")</f>
        <v>773.3970181413515</v>
      </c>
      <c r="N262" s="3">
        <f t="shared" si="49"/>
        <v>187.187551049103</v>
      </c>
      <c r="O262" s="3">
        <f t="shared" si="46"/>
        <v>586.2094670922485</v>
      </c>
      <c r="P262" s="3">
        <f t="shared" si="47"/>
        <v>95530.63317686306</v>
      </c>
      <c r="Q262" s="32"/>
      <c r="R262" s="32">
        <f>$G$39-SUM($Q$39:$Q262)</f>
        <v>200000</v>
      </c>
    </row>
    <row r="263" spans="1:18" ht="12.75">
      <c r="A263" s="1">
        <f t="shared" si="39"/>
        <v>47849</v>
      </c>
      <c r="B263" s="2">
        <f t="shared" si="40"/>
        <v>19</v>
      </c>
      <c r="C263" s="2">
        <f t="shared" si="41"/>
        <v>224</v>
      </c>
      <c r="D263" s="3">
        <f t="shared" si="50"/>
        <v>816.4823619977051</v>
      </c>
      <c r="E263" s="3">
        <f t="shared" si="48"/>
        <v>219.7526157750881</v>
      </c>
      <c r="F263" s="3">
        <f t="shared" si="42"/>
        <v>596.729746222617</v>
      </c>
      <c r="G263" s="3">
        <f t="shared" si="43"/>
        <v>95295.32077381582</v>
      </c>
      <c r="H263" s="32"/>
      <c r="I263" s="32">
        <f>$G$39-SUM($H$39:$H263)</f>
        <v>200000</v>
      </c>
      <c r="J263" s="68"/>
      <c r="K263" s="2">
        <f t="shared" si="44"/>
        <v>19</v>
      </c>
      <c r="L263" s="2">
        <f t="shared" si="45"/>
        <v>224</v>
      </c>
      <c r="M263" s="3">
        <f>IF(L263&lt;&gt;" ",IF(P262&lt;M262,P262+N263,PMT($O$27,($N$30),-$R262))," ")</f>
        <v>773.3970181413515</v>
      </c>
      <c r="N263" s="3">
        <f t="shared" si="49"/>
        <v>186.04590811194083</v>
      </c>
      <c r="O263" s="3">
        <f t="shared" si="46"/>
        <v>587.3511100294106</v>
      </c>
      <c r="P263" s="3">
        <f t="shared" si="47"/>
        <v>94943.28206683365</v>
      </c>
      <c r="Q263" s="32"/>
      <c r="R263" s="32">
        <f>$G$39-SUM($Q$39:$Q263)</f>
        <v>200000</v>
      </c>
    </row>
    <row r="264" spans="1:18" ht="12.75">
      <c r="A264" s="1">
        <f t="shared" si="39"/>
        <v>47880</v>
      </c>
      <c r="B264" s="2">
        <f t="shared" si="40"/>
        <v>19</v>
      </c>
      <c r="C264" s="2">
        <f t="shared" si="41"/>
        <v>225</v>
      </c>
      <c r="D264" s="3">
        <f t="shared" si="50"/>
        <v>816.4823619977051</v>
      </c>
      <c r="E264" s="3">
        <f t="shared" si="48"/>
        <v>218.38511010666127</v>
      </c>
      <c r="F264" s="3">
        <f t="shared" si="42"/>
        <v>598.0972518910438</v>
      </c>
      <c r="G264" s="3">
        <f t="shared" si="43"/>
        <v>94697.22352192478</v>
      </c>
      <c r="H264" s="32"/>
      <c r="I264" s="32">
        <f>$G$39-SUM($H$39:$H264)</f>
        <v>200000</v>
      </c>
      <c r="J264" s="68"/>
      <c r="K264" s="2">
        <f t="shared" si="44"/>
        <v>19</v>
      </c>
      <c r="L264" s="2">
        <f t="shared" si="45"/>
        <v>225</v>
      </c>
      <c r="M264" s="3">
        <f>IF(L264&lt;&gt;" ",IF(P263&lt;M263,P263+N264,PMT($O$27,($N$30),-$R263))," ")</f>
        <v>773.3970181413515</v>
      </c>
      <c r="N264" s="3">
        <f t="shared" si="49"/>
        <v>184.90204182515856</v>
      </c>
      <c r="O264" s="3">
        <f t="shared" si="46"/>
        <v>588.494976316193</v>
      </c>
      <c r="P264" s="3">
        <f t="shared" si="47"/>
        <v>94354.78709051746</v>
      </c>
      <c r="Q264" s="32"/>
      <c r="R264" s="32">
        <f>$G$39-SUM($Q$39:$Q264)</f>
        <v>200000</v>
      </c>
    </row>
    <row r="265" spans="1:18" ht="12.75">
      <c r="A265" s="1">
        <f t="shared" si="39"/>
        <v>47908</v>
      </c>
      <c r="B265" s="2">
        <f t="shared" si="40"/>
        <v>19</v>
      </c>
      <c r="C265" s="2">
        <f t="shared" si="41"/>
        <v>226</v>
      </c>
      <c r="D265" s="3">
        <f t="shared" si="50"/>
        <v>816.4823619977051</v>
      </c>
      <c r="E265" s="3">
        <f t="shared" si="48"/>
        <v>217.01447057107762</v>
      </c>
      <c r="F265" s="3">
        <f t="shared" si="42"/>
        <v>599.4678914266275</v>
      </c>
      <c r="G265" s="3">
        <f t="shared" si="43"/>
        <v>94097.75563049816</v>
      </c>
      <c r="H265" s="32"/>
      <c r="I265" s="32">
        <f>$G$39-SUM($H$39:$H265)</f>
        <v>200000</v>
      </c>
      <c r="J265" s="68"/>
      <c r="K265" s="2">
        <f t="shared" si="44"/>
        <v>19</v>
      </c>
      <c r="L265" s="2">
        <f t="shared" si="45"/>
        <v>226</v>
      </c>
      <c r="M265" s="3">
        <f>IF(L265&lt;&gt;" ",IF(P264&lt;M264,P264+N265,PMT($O$27,($N$30),-$R264))," ")</f>
        <v>773.3970181413515</v>
      </c>
      <c r="N265" s="3">
        <f t="shared" si="49"/>
        <v>183.75594785878278</v>
      </c>
      <c r="O265" s="3">
        <f t="shared" si="46"/>
        <v>589.6410702825688</v>
      </c>
      <c r="P265" s="3">
        <f t="shared" si="47"/>
        <v>93765.1460202349</v>
      </c>
      <c r="Q265" s="32"/>
      <c r="R265" s="32">
        <f>$G$39-SUM($Q$39:$Q265)</f>
        <v>200000</v>
      </c>
    </row>
    <row r="266" spans="1:18" ht="12.75">
      <c r="A266" s="1">
        <f t="shared" si="39"/>
        <v>47939</v>
      </c>
      <c r="B266" s="2">
        <f t="shared" si="40"/>
        <v>19</v>
      </c>
      <c r="C266" s="2">
        <f t="shared" si="41"/>
        <v>227</v>
      </c>
      <c r="D266" s="3">
        <f t="shared" si="50"/>
        <v>816.4823619977051</v>
      </c>
      <c r="E266" s="3">
        <f t="shared" si="48"/>
        <v>215.64068998655827</v>
      </c>
      <c r="F266" s="3">
        <f t="shared" si="42"/>
        <v>600.8416720111468</v>
      </c>
      <c r="G266" s="3">
        <f t="shared" si="43"/>
        <v>93496.91395848701</v>
      </c>
      <c r="H266" s="32"/>
      <c r="I266" s="32">
        <f>$G$39-SUM($H$39:$H266)</f>
        <v>200000</v>
      </c>
      <c r="J266" s="68"/>
      <c r="K266" s="2">
        <f t="shared" si="44"/>
        <v>19</v>
      </c>
      <c r="L266" s="2">
        <f t="shared" si="45"/>
        <v>227</v>
      </c>
      <c r="M266" s="3">
        <f>IF(L266&lt;&gt;" ",IF(P265&lt;M265,P265+N266,PMT($O$27,($N$30),-$R265))," ")</f>
        <v>773.3970181413515</v>
      </c>
      <c r="N266" s="3">
        <f t="shared" si="49"/>
        <v>182.60762187440747</v>
      </c>
      <c r="O266" s="3">
        <f t="shared" si="46"/>
        <v>590.7893962669441</v>
      </c>
      <c r="P266" s="3">
        <f t="shared" si="47"/>
        <v>93174.35662396795</v>
      </c>
      <c r="Q266" s="32"/>
      <c r="R266" s="32">
        <f>$G$39-SUM($Q$39:$Q266)</f>
        <v>200000</v>
      </c>
    </row>
    <row r="267" spans="1:18" ht="12.75">
      <c r="A267" s="1">
        <f t="shared" si="39"/>
        <v>47969</v>
      </c>
      <c r="B267" s="2">
        <f t="shared" si="40"/>
        <v>19</v>
      </c>
      <c r="C267" s="2">
        <f t="shared" si="41"/>
        <v>228</v>
      </c>
      <c r="D267" s="3">
        <f t="shared" si="50"/>
        <v>816.4823619977051</v>
      </c>
      <c r="E267" s="3">
        <f t="shared" si="48"/>
        <v>214.26376115486607</v>
      </c>
      <c r="F267" s="3">
        <f t="shared" si="42"/>
        <v>602.218600842839</v>
      </c>
      <c r="G267" s="3">
        <f t="shared" si="43"/>
        <v>92894.69535764417</v>
      </c>
      <c r="H267" s="32"/>
      <c r="I267" s="32">
        <f>$G$39-SUM($H$39:$H267)</f>
        <v>200000</v>
      </c>
      <c r="J267" s="68"/>
      <c r="K267" s="2">
        <f t="shared" si="44"/>
        <v>19</v>
      </c>
      <c r="L267" s="2">
        <f t="shared" si="45"/>
        <v>228</v>
      </c>
      <c r="M267" s="3">
        <f>IF(L267&lt;&gt;" ",IF(P266&lt;M266,P266+N267,PMT($O$27,($N$30),-$R266))," ")</f>
        <v>773.3970181413515</v>
      </c>
      <c r="N267" s="3">
        <f t="shared" si="49"/>
        <v>181.4570595251776</v>
      </c>
      <c r="O267" s="3">
        <f t="shared" si="46"/>
        <v>591.939958616174</v>
      </c>
      <c r="P267" s="3">
        <f t="shared" si="47"/>
        <v>92582.41666535178</v>
      </c>
      <c r="Q267" s="32"/>
      <c r="R267" s="32">
        <f>$G$39-SUM($Q$39:$Q267)</f>
        <v>200000</v>
      </c>
    </row>
    <row r="268" spans="1:18" ht="12.75">
      <c r="A268" s="1">
        <f t="shared" si="39"/>
        <v>48000</v>
      </c>
      <c r="B268" s="2">
        <f t="shared" si="40"/>
        <v>20</v>
      </c>
      <c r="C268" s="2">
        <f t="shared" si="41"/>
        <v>229</v>
      </c>
      <c r="D268" s="3">
        <f t="shared" si="50"/>
        <v>816.4823619977051</v>
      </c>
      <c r="E268" s="3">
        <f t="shared" si="48"/>
        <v>212.8836768612679</v>
      </c>
      <c r="F268" s="3">
        <f t="shared" si="42"/>
        <v>603.5986851364372</v>
      </c>
      <c r="G268" s="3">
        <f t="shared" si="43"/>
        <v>92291.09667250773</v>
      </c>
      <c r="H268" s="32"/>
      <c r="I268" s="32">
        <f>$G$39-SUM($H$39:$H268)</f>
        <v>200000</v>
      </c>
      <c r="J268" s="68"/>
      <c r="K268" s="2">
        <f t="shared" si="44"/>
        <v>20</v>
      </c>
      <c r="L268" s="2">
        <f t="shared" si="45"/>
        <v>229</v>
      </c>
      <c r="M268" s="3">
        <f>IF(L268&lt;&gt;" ",IF(P267&lt;M267,P267+N268,PMT($O$27,($N$30),-$R267))," ")</f>
        <v>773.3970181413515</v>
      </c>
      <c r="N268" s="3">
        <f t="shared" si="49"/>
        <v>180.30425645577262</v>
      </c>
      <c r="O268" s="3">
        <f t="shared" si="46"/>
        <v>593.0927616855789</v>
      </c>
      <c r="P268" s="3">
        <f t="shared" si="47"/>
        <v>91989.3239036662</v>
      </c>
      <c r="Q268" s="32"/>
      <c r="R268" s="32">
        <f>$G$39-SUM($Q$39:$Q268)</f>
        <v>200000</v>
      </c>
    </row>
    <row r="269" spans="1:18" ht="12.75">
      <c r="A269" s="1">
        <f t="shared" si="39"/>
        <v>48030</v>
      </c>
      <c r="B269" s="2">
        <f t="shared" si="40"/>
        <v>20</v>
      </c>
      <c r="C269" s="2">
        <f t="shared" si="41"/>
        <v>230</v>
      </c>
      <c r="D269" s="3">
        <f t="shared" si="50"/>
        <v>816.4823619977051</v>
      </c>
      <c r="E269" s="3">
        <f t="shared" si="48"/>
        <v>211.5004298744969</v>
      </c>
      <c r="F269" s="3">
        <f t="shared" si="42"/>
        <v>604.9819321232083</v>
      </c>
      <c r="G269" s="3">
        <f t="shared" si="43"/>
        <v>91686.11474038452</v>
      </c>
      <c r="H269" s="32"/>
      <c r="I269" s="32">
        <f>$G$39-SUM($H$39:$H269)</f>
        <v>200000</v>
      </c>
      <c r="J269" s="68"/>
      <c r="K269" s="2">
        <f t="shared" si="44"/>
        <v>20</v>
      </c>
      <c r="L269" s="2">
        <f t="shared" si="45"/>
        <v>230</v>
      </c>
      <c r="M269" s="3">
        <f>IF(L269&lt;&gt;" ",IF(P268&lt;M268,P268+N269,PMT($O$27,($N$30),-$R268))," ")</f>
        <v>773.3970181413515</v>
      </c>
      <c r="N269" s="3">
        <f t="shared" si="49"/>
        <v>179.14920830238995</v>
      </c>
      <c r="O269" s="3">
        <f t="shared" si="46"/>
        <v>594.2478098389615</v>
      </c>
      <c r="P269" s="3">
        <f t="shared" si="47"/>
        <v>91395.07609382724</v>
      </c>
      <c r="Q269" s="32"/>
      <c r="R269" s="32">
        <f>$G$39-SUM($Q$39:$Q269)</f>
        <v>200000</v>
      </c>
    </row>
    <row r="270" spans="1:18" ht="12.75">
      <c r="A270" s="1">
        <f t="shared" si="39"/>
        <v>48061</v>
      </c>
      <c r="B270" s="2">
        <f t="shared" si="40"/>
        <v>20</v>
      </c>
      <c r="C270" s="2">
        <f t="shared" si="41"/>
        <v>231</v>
      </c>
      <c r="D270" s="3">
        <f t="shared" si="50"/>
        <v>816.4823619977051</v>
      </c>
      <c r="E270" s="3">
        <f t="shared" si="48"/>
        <v>210.11401294671452</v>
      </c>
      <c r="F270" s="3">
        <f t="shared" si="42"/>
        <v>606.3683490509906</v>
      </c>
      <c r="G270" s="3">
        <f t="shared" si="43"/>
        <v>91079.74639133354</v>
      </c>
      <c r="H270" s="32"/>
      <c r="I270" s="32">
        <f>$G$39-SUM($H$39:$H270)</f>
        <v>200000</v>
      </c>
      <c r="J270" s="68"/>
      <c r="K270" s="2">
        <f t="shared" si="44"/>
        <v>20</v>
      </c>
      <c r="L270" s="2">
        <f t="shared" si="45"/>
        <v>231</v>
      </c>
      <c r="M270" s="3">
        <f>IF(L270&lt;&gt;" ",IF(P269&lt;M269,P269+N270,PMT($O$27,($N$30),-$R269))," ")</f>
        <v>773.3970181413515</v>
      </c>
      <c r="N270" s="3">
        <f t="shared" si="49"/>
        <v>177.99191069272857</v>
      </c>
      <c r="O270" s="3">
        <f t="shared" si="46"/>
        <v>595.405107448623</v>
      </c>
      <c r="P270" s="3">
        <f t="shared" si="47"/>
        <v>90799.67098637862</v>
      </c>
      <c r="Q270" s="32"/>
      <c r="R270" s="32">
        <f>$G$39-SUM($Q$39:$Q270)</f>
        <v>200000</v>
      </c>
    </row>
    <row r="271" spans="1:18" ht="12.75">
      <c r="A271" s="1">
        <f t="shared" si="39"/>
        <v>48092</v>
      </c>
      <c r="B271" s="2">
        <f t="shared" si="40"/>
        <v>20</v>
      </c>
      <c r="C271" s="2">
        <f t="shared" si="41"/>
        <v>232</v>
      </c>
      <c r="D271" s="3">
        <f t="shared" si="50"/>
        <v>816.4823619977051</v>
      </c>
      <c r="E271" s="3">
        <f t="shared" si="48"/>
        <v>208.72441881347268</v>
      </c>
      <c r="F271" s="3">
        <f t="shared" si="42"/>
        <v>607.7579431842324</v>
      </c>
      <c r="G271" s="3">
        <f t="shared" si="43"/>
        <v>90471.9884481493</v>
      </c>
      <c r="H271" s="32"/>
      <c r="I271" s="32">
        <f>$G$39-SUM($H$39:$H271)</f>
        <v>200000</v>
      </c>
      <c r="J271" s="68"/>
      <c r="K271" s="2">
        <f t="shared" si="44"/>
        <v>20</v>
      </c>
      <c r="L271" s="2">
        <f t="shared" si="45"/>
        <v>232</v>
      </c>
      <c r="M271" s="3">
        <f>IF(L271&lt;&gt;" ",IF(P270&lt;M270,P270+N271,PMT($O$27,($N$30),-$R270))," ")</f>
        <v>773.3970181413515</v>
      </c>
      <c r="N271" s="3">
        <f t="shared" si="49"/>
        <v>176.83235924597238</v>
      </c>
      <c r="O271" s="3">
        <f t="shared" si="46"/>
        <v>596.5646588953791</v>
      </c>
      <c r="P271" s="3">
        <f t="shared" si="47"/>
        <v>90203.10632748324</v>
      </c>
      <c r="Q271" s="32"/>
      <c r="R271" s="32">
        <f>$G$39-SUM($Q$39:$Q271)</f>
        <v>200000</v>
      </c>
    </row>
    <row r="272" spans="1:18" ht="12.75">
      <c r="A272" s="1">
        <f t="shared" si="39"/>
        <v>48122</v>
      </c>
      <c r="B272" s="2">
        <f t="shared" si="40"/>
        <v>20</v>
      </c>
      <c r="C272" s="2">
        <f t="shared" si="41"/>
        <v>233</v>
      </c>
      <c r="D272" s="3">
        <f t="shared" si="50"/>
        <v>816.4823619977051</v>
      </c>
      <c r="E272" s="3">
        <f t="shared" si="48"/>
        <v>207.3316401936755</v>
      </c>
      <c r="F272" s="3">
        <f t="shared" si="42"/>
        <v>609.1507218040296</v>
      </c>
      <c r="G272" s="3">
        <f t="shared" si="43"/>
        <v>89862.83772634527</v>
      </c>
      <c r="H272" s="32"/>
      <c r="I272" s="32">
        <f>$G$39-SUM($H$39:$H272)</f>
        <v>200000</v>
      </c>
      <c r="J272" s="68"/>
      <c r="K272" s="2">
        <f t="shared" si="44"/>
        <v>20</v>
      </c>
      <c r="L272" s="2">
        <f t="shared" si="45"/>
        <v>233</v>
      </c>
      <c r="M272" s="3">
        <f>IF(L272&lt;&gt;" ",IF(P271&lt;M271,P271+N272,PMT($O$27,($N$30),-$R271))," ")</f>
        <v>773.3970181413515</v>
      </c>
      <c r="N272" s="3">
        <f t="shared" si="49"/>
        <v>175.67054957277364</v>
      </c>
      <c r="O272" s="3">
        <f t="shared" si="46"/>
        <v>597.7264685685778</v>
      </c>
      <c r="P272" s="3">
        <f t="shared" si="47"/>
        <v>89605.37985891466</v>
      </c>
      <c r="Q272" s="32"/>
      <c r="R272" s="32">
        <f>$G$39-SUM($Q$39:$Q272)</f>
        <v>200000</v>
      </c>
    </row>
    <row r="273" spans="1:18" ht="12.75">
      <c r="A273" s="1">
        <f t="shared" si="39"/>
        <v>48153</v>
      </c>
      <c r="B273" s="2">
        <f t="shared" si="40"/>
        <v>20</v>
      </c>
      <c r="C273" s="2">
        <f t="shared" si="41"/>
        <v>234</v>
      </c>
      <c r="D273" s="3">
        <f t="shared" si="50"/>
        <v>816.4823619977051</v>
      </c>
      <c r="E273" s="3">
        <f t="shared" si="48"/>
        <v>205.93566978954124</v>
      </c>
      <c r="F273" s="3">
        <f t="shared" si="42"/>
        <v>610.5466922081639</v>
      </c>
      <c r="G273" s="3">
        <f t="shared" si="43"/>
        <v>89252.2910341371</v>
      </c>
      <c r="H273" s="32"/>
      <c r="I273" s="32">
        <f>$G$39-SUM($H$39:$H273)</f>
        <v>200000</v>
      </c>
      <c r="J273" s="68"/>
      <c r="K273" s="2">
        <f t="shared" si="44"/>
        <v>20</v>
      </c>
      <c r="L273" s="2">
        <f t="shared" si="45"/>
        <v>234</v>
      </c>
      <c r="M273" s="3">
        <f>IF(L273&lt;&gt;" ",IF(P272&lt;M272,P272+N273,PMT($O$27,($N$30),-$R272))," ")</f>
        <v>773.3970181413515</v>
      </c>
      <c r="N273" s="3">
        <f t="shared" si="49"/>
        <v>174.50647727523634</v>
      </c>
      <c r="O273" s="3">
        <f t="shared" si="46"/>
        <v>598.8905408661152</v>
      </c>
      <c r="P273" s="3">
        <f t="shared" si="47"/>
        <v>89006.48931804855</v>
      </c>
      <c r="Q273" s="32"/>
      <c r="R273" s="32">
        <f>$G$39-SUM($Q$39:$Q273)</f>
        <v>200000</v>
      </c>
    </row>
    <row r="274" spans="1:18" ht="12.75">
      <c r="A274" s="1">
        <f t="shared" si="39"/>
        <v>48183</v>
      </c>
      <c r="B274" s="2">
        <f t="shared" si="40"/>
        <v>20</v>
      </c>
      <c r="C274" s="2">
        <f t="shared" si="41"/>
        <v>235</v>
      </c>
      <c r="D274" s="3">
        <f t="shared" si="50"/>
        <v>816.4823619977051</v>
      </c>
      <c r="E274" s="3">
        <f t="shared" si="48"/>
        <v>204.5365002865642</v>
      </c>
      <c r="F274" s="3">
        <f t="shared" si="42"/>
        <v>611.9458617111409</v>
      </c>
      <c r="G274" s="3">
        <f t="shared" si="43"/>
        <v>88640.34517242596</v>
      </c>
      <c r="H274" s="32"/>
      <c r="I274" s="32">
        <f>$G$39-SUM($H$39:$H274)</f>
        <v>200000</v>
      </c>
      <c r="J274" s="68"/>
      <c r="K274" s="2">
        <f t="shared" si="44"/>
        <v>20</v>
      </c>
      <c r="L274" s="2">
        <f t="shared" si="45"/>
        <v>235</v>
      </c>
      <c r="M274" s="3">
        <f>IF(L274&lt;&gt;" ",IF(P273&lt;M273,P273+N274,PMT($O$27,($N$30),-$R273))," ")</f>
        <v>773.3970181413515</v>
      </c>
      <c r="N274" s="3">
        <f t="shared" si="49"/>
        <v>173.34013794689957</v>
      </c>
      <c r="O274" s="3">
        <f t="shared" si="46"/>
        <v>600.0568801944519</v>
      </c>
      <c r="P274" s="3">
        <f t="shared" si="47"/>
        <v>88406.4324378541</v>
      </c>
      <c r="Q274" s="32"/>
      <c r="R274" s="32">
        <f>$G$39-SUM($Q$39:$Q274)</f>
        <v>200000</v>
      </c>
    </row>
    <row r="275" spans="1:18" ht="12.75">
      <c r="A275" s="1">
        <f t="shared" si="39"/>
        <v>48214</v>
      </c>
      <c r="B275" s="2">
        <f t="shared" si="40"/>
        <v>20</v>
      </c>
      <c r="C275" s="2">
        <f t="shared" si="41"/>
        <v>236</v>
      </c>
      <c r="D275" s="3">
        <f t="shared" si="50"/>
        <v>816.4823619977051</v>
      </c>
      <c r="E275" s="3">
        <f t="shared" si="48"/>
        <v>203.13412435347618</v>
      </c>
      <c r="F275" s="3">
        <f t="shared" si="42"/>
        <v>613.3482376442289</v>
      </c>
      <c r="G275" s="3">
        <f t="shared" si="43"/>
        <v>88026.99693478174</v>
      </c>
      <c r="H275" s="32"/>
      <c r="I275" s="32">
        <f>$G$39-SUM($H$39:$H275)</f>
        <v>200000</v>
      </c>
      <c r="J275" s="68"/>
      <c r="K275" s="2">
        <f t="shared" si="44"/>
        <v>20</v>
      </c>
      <c r="L275" s="2">
        <f t="shared" si="45"/>
        <v>236</v>
      </c>
      <c r="M275" s="3">
        <f>IF(L275&lt;&gt;" ",IF(P274&lt;M274,P274+N275,PMT($O$27,($N$30),-$R274))," ")</f>
        <v>773.3970181413515</v>
      </c>
      <c r="N275" s="3">
        <f t="shared" si="49"/>
        <v>172.1715271727209</v>
      </c>
      <c r="O275" s="3">
        <f t="shared" si="46"/>
        <v>601.2254909686307</v>
      </c>
      <c r="P275" s="3">
        <f t="shared" si="47"/>
        <v>87805.20694688548</v>
      </c>
      <c r="Q275" s="32"/>
      <c r="R275" s="32">
        <f>$G$39-SUM($Q$39:$Q275)</f>
        <v>200000</v>
      </c>
    </row>
    <row r="276" spans="1:18" ht="12.75">
      <c r="A276" s="1">
        <f t="shared" si="39"/>
        <v>48245</v>
      </c>
      <c r="B276" s="2">
        <f t="shared" si="40"/>
        <v>20</v>
      </c>
      <c r="C276" s="2">
        <f t="shared" si="41"/>
        <v>237</v>
      </c>
      <c r="D276" s="3">
        <f t="shared" si="50"/>
        <v>816.4823619977051</v>
      </c>
      <c r="E276" s="3">
        <f t="shared" si="48"/>
        <v>201.72853464220816</v>
      </c>
      <c r="F276" s="3">
        <f t="shared" si="42"/>
        <v>614.7538273554969</v>
      </c>
      <c r="G276" s="3">
        <f t="shared" si="43"/>
        <v>87412.24310742624</v>
      </c>
      <c r="H276" s="32"/>
      <c r="I276" s="32">
        <f>$G$39-SUM($H$39:$H276)</f>
        <v>200000</v>
      </c>
      <c r="J276" s="68"/>
      <c r="K276" s="2">
        <f t="shared" si="44"/>
        <v>20</v>
      </c>
      <c r="L276" s="2">
        <f t="shared" si="45"/>
        <v>237</v>
      </c>
      <c r="M276" s="3">
        <f>IF(L276&lt;&gt;" ",IF(P275&lt;M275,P275+N276,PMT($O$27,($N$30),-$R275))," ")</f>
        <v>773.3970181413515</v>
      </c>
      <c r="N276" s="3">
        <f t="shared" si="49"/>
        <v>171.0006405290595</v>
      </c>
      <c r="O276" s="3">
        <f t="shared" si="46"/>
        <v>602.396377612292</v>
      </c>
      <c r="P276" s="3">
        <f t="shared" si="47"/>
        <v>87202.81056927318</v>
      </c>
      <c r="Q276" s="32"/>
      <c r="R276" s="32">
        <f>$G$39-SUM($Q$39:$Q276)</f>
        <v>200000</v>
      </c>
    </row>
    <row r="277" spans="1:18" ht="12.75">
      <c r="A277" s="1">
        <f t="shared" si="39"/>
        <v>48274</v>
      </c>
      <c r="B277" s="2">
        <f t="shared" si="40"/>
        <v>20</v>
      </c>
      <c r="C277" s="2">
        <f t="shared" si="41"/>
        <v>238</v>
      </c>
      <c r="D277" s="3">
        <f t="shared" si="50"/>
        <v>816.4823619977051</v>
      </c>
      <c r="E277" s="3">
        <f t="shared" si="48"/>
        <v>200.3197237878518</v>
      </c>
      <c r="F277" s="3">
        <f t="shared" si="42"/>
        <v>616.1626382098533</v>
      </c>
      <c r="G277" s="3">
        <f t="shared" si="43"/>
        <v>86796.0804692164</v>
      </c>
      <c r="H277" s="32"/>
      <c r="I277" s="32">
        <f>$G$39-SUM($H$39:$H277)</f>
        <v>200000</v>
      </c>
      <c r="J277" s="68"/>
      <c r="K277" s="2">
        <f t="shared" si="44"/>
        <v>20</v>
      </c>
      <c r="L277" s="2">
        <f t="shared" si="45"/>
        <v>238</v>
      </c>
      <c r="M277" s="3">
        <f>IF(L277&lt;&gt;" ",IF(P276&lt;M276,P276+N277,PMT($O$27,($N$30),-$R276))," ")</f>
        <v>773.3970181413515</v>
      </c>
      <c r="N277" s="3">
        <f t="shared" si="49"/>
        <v>169.82747358365953</v>
      </c>
      <c r="O277" s="3">
        <f t="shared" si="46"/>
        <v>603.569544557692</v>
      </c>
      <c r="P277" s="3">
        <f t="shared" si="47"/>
        <v>86599.24102471549</v>
      </c>
      <c r="Q277" s="32"/>
      <c r="R277" s="32">
        <f>$G$39-SUM($Q$39:$Q277)</f>
        <v>200000</v>
      </c>
    </row>
    <row r="278" spans="1:18" ht="12.75">
      <c r="A278" s="1">
        <f t="shared" si="39"/>
        <v>48305</v>
      </c>
      <c r="B278" s="2">
        <f t="shared" si="40"/>
        <v>20</v>
      </c>
      <c r="C278" s="2">
        <f t="shared" si="41"/>
        <v>239</v>
      </c>
      <c r="D278" s="3">
        <f t="shared" si="50"/>
        <v>816.4823619977051</v>
      </c>
      <c r="E278" s="3">
        <f t="shared" si="48"/>
        <v>198.9076844086209</v>
      </c>
      <c r="F278" s="3">
        <f t="shared" si="42"/>
        <v>617.5746775890842</v>
      </c>
      <c r="G278" s="3">
        <f t="shared" si="43"/>
        <v>86178.5057916273</v>
      </c>
      <c r="H278" s="32"/>
      <c r="I278" s="32">
        <f>$G$39-SUM($H$39:$H278)</f>
        <v>200000</v>
      </c>
      <c r="J278" s="68"/>
      <c r="K278" s="2">
        <f t="shared" si="44"/>
        <v>20</v>
      </c>
      <c r="L278" s="2">
        <f t="shared" si="45"/>
        <v>239</v>
      </c>
      <c r="M278" s="3">
        <f>IF(L278&lt;&gt;" ",IF(P277&lt;M277,P277+N278,PMT($O$27,($N$30),-$R277))," ")</f>
        <v>773.3970181413515</v>
      </c>
      <c r="N278" s="3">
        <f t="shared" si="49"/>
        <v>168.65202189563345</v>
      </c>
      <c r="O278" s="3">
        <f t="shared" si="46"/>
        <v>604.7449962457181</v>
      </c>
      <c r="P278" s="3">
        <f t="shared" si="47"/>
        <v>85994.49602846977</v>
      </c>
      <c r="Q278" s="32"/>
      <c r="R278" s="32">
        <f>$G$39-SUM($Q$39:$Q278)</f>
        <v>200000</v>
      </c>
    </row>
    <row r="279" spans="1:18" ht="12.75">
      <c r="A279" s="1">
        <f t="shared" si="39"/>
        <v>48335</v>
      </c>
      <c r="B279" s="2">
        <f t="shared" si="40"/>
        <v>20</v>
      </c>
      <c r="C279" s="2">
        <f t="shared" si="41"/>
        <v>240</v>
      </c>
      <c r="D279" s="3">
        <f t="shared" si="50"/>
        <v>816.4823619977051</v>
      </c>
      <c r="E279" s="3">
        <f t="shared" si="48"/>
        <v>197.49240910581258</v>
      </c>
      <c r="F279" s="3">
        <f t="shared" si="42"/>
        <v>618.9899528918925</v>
      </c>
      <c r="G279" s="3">
        <f t="shared" si="43"/>
        <v>85559.51583873542</v>
      </c>
      <c r="H279" s="32"/>
      <c r="I279" s="32">
        <f>$G$39-SUM($H$39:$H279)</f>
        <v>200000</v>
      </c>
      <c r="J279" s="68"/>
      <c r="K279" s="2">
        <f t="shared" si="44"/>
        <v>20</v>
      </c>
      <c r="L279" s="2">
        <f t="shared" si="45"/>
        <v>240</v>
      </c>
      <c r="M279" s="3">
        <f>IF(L279&lt;&gt;" ",IF(P278&lt;M278,P278+N279,PMT($O$27,($N$30),-$R278))," ")</f>
        <v>773.3970181413515</v>
      </c>
      <c r="N279" s="3">
        <f t="shared" si="49"/>
        <v>167.47428101544492</v>
      </c>
      <c r="O279" s="3">
        <f t="shared" si="46"/>
        <v>605.9227371259066</v>
      </c>
      <c r="P279" s="3">
        <f t="shared" si="47"/>
        <v>85388.57329134387</v>
      </c>
      <c r="Q279" s="32"/>
      <c r="R279" s="32">
        <f>$G$39-SUM($Q$39:$Q279)</f>
        <v>200000</v>
      </c>
    </row>
    <row r="280" spans="1:18" ht="12.75">
      <c r="A280" s="1">
        <f t="shared" si="39"/>
        <v>48366</v>
      </c>
      <c r="B280" s="2">
        <f t="shared" si="40"/>
        <v>21</v>
      </c>
      <c r="C280" s="2">
        <f t="shared" si="41"/>
        <v>241</v>
      </c>
      <c r="D280" s="3">
        <f t="shared" si="50"/>
        <v>816.4823619977051</v>
      </c>
      <c r="E280" s="3">
        <f t="shared" si="48"/>
        <v>196.07389046376866</v>
      </c>
      <c r="F280" s="3">
        <f t="shared" si="42"/>
        <v>620.4084715339364</v>
      </c>
      <c r="G280" s="3">
        <f t="shared" si="43"/>
        <v>84939.10736720148</v>
      </c>
      <c r="H280" s="32"/>
      <c r="I280" s="32">
        <f>$G$39-SUM($H$39:$H280)</f>
        <v>200000</v>
      </c>
      <c r="J280" s="68"/>
      <c r="K280" s="2">
        <f t="shared" si="44"/>
        <v>21</v>
      </c>
      <c r="L280" s="2">
        <f t="shared" si="45"/>
        <v>241</v>
      </c>
      <c r="M280" s="3">
        <f>IF(L280&lt;&gt;" ",IF(P279&lt;M279,P279+N280,PMT($O$27,($N$30),-$R279))," ")</f>
        <v>773.3970181413515</v>
      </c>
      <c r="N280" s="3">
        <f t="shared" si="49"/>
        <v>166.2942464848922</v>
      </c>
      <c r="O280" s="3">
        <f t="shared" si="46"/>
        <v>607.1027716564593</v>
      </c>
      <c r="P280" s="3">
        <f t="shared" si="47"/>
        <v>84781.47051968741</v>
      </c>
      <c r="Q280" s="32"/>
      <c r="R280" s="32">
        <f>$G$39-SUM($Q$39:$Q280)</f>
        <v>200000</v>
      </c>
    </row>
    <row r="281" spans="1:18" ht="12.75">
      <c r="A281" s="1">
        <f t="shared" si="39"/>
        <v>48396</v>
      </c>
      <c r="B281" s="2">
        <f t="shared" si="40"/>
        <v>21</v>
      </c>
      <c r="C281" s="2">
        <f t="shared" si="41"/>
        <v>242</v>
      </c>
      <c r="D281" s="3">
        <f t="shared" si="50"/>
        <v>816.4823619977051</v>
      </c>
      <c r="E281" s="3">
        <f t="shared" si="48"/>
        <v>194.65212104983672</v>
      </c>
      <c r="F281" s="3">
        <f t="shared" si="42"/>
        <v>621.8302409478683</v>
      </c>
      <c r="G281" s="3">
        <f t="shared" si="43"/>
        <v>84317.27712625361</v>
      </c>
      <c r="H281" s="32"/>
      <c r="I281" s="32">
        <f>$G$39-SUM($H$39:$H281)</f>
        <v>200000</v>
      </c>
      <c r="J281" s="68"/>
      <c r="K281" s="2">
        <f t="shared" si="44"/>
        <v>21</v>
      </c>
      <c r="L281" s="2">
        <f t="shared" si="45"/>
        <v>242</v>
      </c>
      <c r="M281" s="3">
        <f>IF(L281&lt;&gt;" ",IF(P280&lt;M280,P280+N281,PMT($O$27,($N$30),-$R280))," ")</f>
        <v>773.3970181413515</v>
      </c>
      <c r="N281" s="3">
        <f t="shared" si="49"/>
        <v>165.11191383709127</v>
      </c>
      <c r="O281" s="3">
        <f t="shared" si="46"/>
        <v>608.2851043042602</v>
      </c>
      <c r="P281" s="3">
        <f t="shared" si="47"/>
        <v>84173.18541538315</v>
      </c>
      <c r="Q281" s="32"/>
      <c r="R281" s="32">
        <f>$G$39-SUM($Q$39:$Q281)</f>
        <v>200000</v>
      </c>
    </row>
    <row r="282" spans="1:18" ht="12.75">
      <c r="A282" s="1">
        <f t="shared" si="39"/>
        <v>48427</v>
      </c>
      <c r="B282" s="2">
        <f t="shared" si="40"/>
        <v>21</v>
      </c>
      <c r="C282" s="2">
        <f t="shared" si="41"/>
        <v>243</v>
      </c>
      <c r="D282" s="3">
        <f t="shared" si="50"/>
        <v>816.4823619977051</v>
      </c>
      <c r="E282" s="3">
        <f t="shared" si="48"/>
        <v>193.2270934143312</v>
      </c>
      <c r="F282" s="3">
        <f t="shared" si="42"/>
        <v>623.2552685833739</v>
      </c>
      <c r="G282" s="3">
        <f t="shared" si="43"/>
        <v>83694.02185767023</v>
      </c>
      <c r="H282" s="32"/>
      <c r="I282" s="32">
        <f>$G$39-SUM($H$39:$H282)</f>
        <v>200000</v>
      </c>
      <c r="J282" s="68"/>
      <c r="K282" s="2">
        <f t="shared" si="44"/>
        <v>21</v>
      </c>
      <c r="L282" s="2">
        <f t="shared" si="45"/>
        <v>243</v>
      </c>
      <c r="M282" s="3">
        <f>IF(L282&lt;&gt;" ",IF(P281&lt;M281,P281+N282,PMT($O$27,($N$30),-$R281))," ")</f>
        <v>773.3970181413515</v>
      </c>
      <c r="N282" s="3">
        <f t="shared" si="49"/>
        <v>163.9272785964587</v>
      </c>
      <c r="O282" s="3">
        <f t="shared" si="46"/>
        <v>609.4697395448928</v>
      </c>
      <c r="P282" s="3">
        <f t="shared" si="47"/>
        <v>83563.71567583826</v>
      </c>
      <c r="Q282" s="32"/>
      <c r="R282" s="32">
        <f>$G$39-SUM($Q$39:$Q282)</f>
        <v>200000</v>
      </c>
    </row>
    <row r="283" spans="1:18" ht="12.75">
      <c r="A283" s="1">
        <f t="shared" si="39"/>
        <v>48458</v>
      </c>
      <c r="B283" s="2">
        <f t="shared" si="40"/>
        <v>21</v>
      </c>
      <c r="C283" s="2">
        <f t="shared" si="41"/>
        <v>244</v>
      </c>
      <c r="D283" s="3">
        <f t="shared" si="50"/>
        <v>816.4823619977051</v>
      </c>
      <c r="E283" s="3">
        <f t="shared" si="48"/>
        <v>191.7988000904943</v>
      </c>
      <c r="F283" s="3">
        <f t="shared" si="42"/>
        <v>624.6835619072108</v>
      </c>
      <c r="G283" s="3">
        <f t="shared" si="43"/>
        <v>83069.33829576302</v>
      </c>
      <c r="H283" s="32"/>
      <c r="I283" s="32">
        <f>$G$39-SUM($H$39:$H283)</f>
        <v>200000</v>
      </c>
      <c r="J283" s="68"/>
      <c r="K283" s="2">
        <f t="shared" si="44"/>
        <v>21</v>
      </c>
      <c r="L283" s="2">
        <f t="shared" si="45"/>
        <v>244</v>
      </c>
      <c r="M283" s="3">
        <f>IF(L283&lt;&gt;" ",IF(P282&lt;M282,P282+N283,PMT($O$27,($N$30),-$R282))," ")</f>
        <v>773.3970181413515</v>
      </c>
      <c r="N283" s="3">
        <f t="shared" si="49"/>
        <v>162.74033627869503</v>
      </c>
      <c r="O283" s="3">
        <f t="shared" si="46"/>
        <v>610.6566818626565</v>
      </c>
      <c r="P283" s="3">
        <f t="shared" si="47"/>
        <v>82953.0589939756</v>
      </c>
      <c r="Q283" s="32"/>
      <c r="R283" s="32">
        <f>$G$39-SUM($Q$39:$Q283)</f>
        <v>200000</v>
      </c>
    </row>
    <row r="284" spans="1:18" ht="12.75">
      <c r="A284" s="1">
        <f t="shared" si="39"/>
        <v>48488</v>
      </c>
      <c r="B284" s="2">
        <f t="shared" si="40"/>
        <v>21</v>
      </c>
      <c r="C284" s="2">
        <f t="shared" si="41"/>
        <v>245</v>
      </c>
      <c r="D284" s="3">
        <f t="shared" si="50"/>
        <v>816.4823619977051</v>
      </c>
      <c r="E284" s="3">
        <f t="shared" si="48"/>
        <v>190.36723359445693</v>
      </c>
      <c r="F284" s="3">
        <f t="shared" si="42"/>
        <v>626.1151284032481</v>
      </c>
      <c r="G284" s="3">
        <f t="shared" si="43"/>
        <v>82443.22316735977</v>
      </c>
      <c r="H284" s="32"/>
      <c r="I284" s="32">
        <f>$G$39-SUM($H$39:$H284)</f>
        <v>200000</v>
      </c>
      <c r="J284" s="68"/>
      <c r="K284" s="2">
        <f t="shared" si="44"/>
        <v>21</v>
      </c>
      <c r="L284" s="2">
        <f t="shared" si="45"/>
        <v>245</v>
      </c>
      <c r="M284" s="3">
        <f>IF(L284&lt;&gt;" ",IF(P283&lt;M283,P283+N284,PMT($O$27,($N$30),-$R283))," ")</f>
        <v>773.3970181413515</v>
      </c>
      <c r="N284" s="3">
        <f t="shared" si="49"/>
        <v>161.5510823907675</v>
      </c>
      <c r="O284" s="3">
        <f t="shared" si="46"/>
        <v>611.845935750584</v>
      </c>
      <c r="P284" s="3">
        <f t="shared" si="47"/>
        <v>82341.21305822502</v>
      </c>
      <c r="Q284" s="32"/>
      <c r="R284" s="32">
        <f>$G$39-SUM($Q$39:$Q284)</f>
        <v>200000</v>
      </c>
    </row>
    <row r="285" spans="1:18" ht="12.75">
      <c r="A285" s="1">
        <f t="shared" si="39"/>
        <v>48519</v>
      </c>
      <c r="B285" s="2">
        <f t="shared" si="40"/>
        <v>21</v>
      </c>
      <c r="C285" s="2">
        <f t="shared" si="41"/>
        <v>246</v>
      </c>
      <c r="D285" s="3">
        <f t="shared" si="50"/>
        <v>816.4823619977051</v>
      </c>
      <c r="E285" s="3">
        <f t="shared" si="48"/>
        <v>188.93238642519947</v>
      </c>
      <c r="F285" s="3">
        <f t="shared" si="42"/>
        <v>627.5499755725057</v>
      </c>
      <c r="G285" s="3">
        <f t="shared" si="43"/>
        <v>81815.67319178727</v>
      </c>
      <c r="H285" s="32"/>
      <c r="I285" s="32">
        <f>$G$39-SUM($H$39:$H285)</f>
        <v>200000</v>
      </c>
      <c r="J285" s="68"/>
      <c r="K285" s="2">
        <f t="shared" si="44"/>
        <v>21</v>
      </c>
      <c r="L285" s="2">
        <f t="shared" si="45"/>
        <v>246</v>
      </c>
      <c r="M285" s="3">
        <f>IF(L285&lt;&gt;" ",IF(P284&lt;M284,P284+N285,PMT($O$27,($N$30),-$R284))," ")</f>
        <v>773.3970181413515</v>
      </c>
      <c r="N285" s="3">
        <f t="shared" si="49"/>
        <v>160.35951243089326</v>
      </c>
      <c r="O285" s="3">
        <f t="shared" si="46"/>
        <v>613.0375057104583</v>
      </c>
      <c r="P285" s="3">
        <f t="shared" si="47"/>
        <v>81728.17555251457</v>
      </c>
      <c r="Q285" s="32"/>
      <c r="R285" s="32">
        <f>$G$39-SUM($Q$39:$Q285)</f>
        <v>200000</v>
      </c>
    </row>
    <row r="286" spans="1:18" ht="12.75">
      <c r="A286" s="1">
        <f t="shared" si="39"/>
        <v>48549</v>
      </c>
      <c r="B286" s="2">
        <f t="shared" si="40"/>
        <v>21</v>
      </c>
      <c r="C286" s="2">
        <f t="shared" si="41"/>
        <v>247</v>
      </c>
      <c r="D286" s="3">
        <f t="shared" si="50"/>
        <v>816.4823619977051</v>
      </c>
      <c r="E286" s="3">
        <f t="shared" si="48"/>
        <v>187.4942510645125</v>
      </c>
      <c r="F286" s="3">
        <f t="shared" si="42"/>
        <v>628.9881109331926</v>
      </c>
      <c r="G286" s="3">
        <f t="shared" si="43"/>
        <v>81186.68508085408</v>
      </c>
      <c r="H286" s="32"/>
      <c r="I286" s="32">
        <f>$G$39-SUM($H$39:$H286)</f>
        <v>200000</v>
      </c>
      <c r="J286" s="68"/>
      <c r="K286" s="2">
        <f t="shared" si="44"/>
        <v>21</v>
      </c>
      <c r="L286" s="2">
        <f t="shared" si="45"/>
        <v>247</v>
      </c>
      <c r="M286" s="3">
        <f>IF(L286&lt;&gt;" ",IF(P285&lt;M285,P285+N286,PMT($O$27,($N$30),-$R285))," ")</f>
        <v>773.3970181413515</v>
      </c>
      <c r="N286" s="3">
        <f t="shared" si="49"/>
        <v>159.16562188852214</v>
      </c>
      <c r="O286" s="3">
        <f t="shared" si="46"/>
        <v>614.2313962528294</v>
      </c>
      <c r="P286" s="3">
        <f t="shared" si="47"/>
        <v>81113.94415626174</v>
      </c>
      <c r="Q286" s="32"/>
      <c r="R286" s="32">
        <f>$G$39-SUM($Q$39:$Q286)</f>
        <v>200000</v>
      </c>
    </row>
    <row r="287" spans="1:18" ht="12.75">
      <c r="A287" s="1">
        <f t="shared" si="39"/>
        <v>48580</v>
      </c>
      <c r="B287" s="2">
        <f t="shared" si="40"/>
        <v>21</v>
      </c>
      <c r="C287" s="2">
        <f t="shared" si="41"/>
        <v>248</v>
      </c>
      <c r="D287" s="3">
        <f t="shared" si="50"/>
        <v>816.4823619977051</v>
      </c>
      <c r="E287" s="3">
        <f t="shared" si="48"/>
        <v>186.05281997695727</v>
      </c>
      <c r="F287" s="3">
        <f t="shared" si="42"/>
        <v>630.4295420207478</v>
      </c>
      <c r="G287" s="3">
        <f t="shared" si="43"/>
        <v>80556.25553883333</v>
      </c>
      <c r="H287" s="32"/>
      <c r="I287" s="32">
        <f>$G$39-SUM($H$39:$H287)</f>
        <v>200000</v>
      </c>
      <c r="J287" s="68"/>
      <c r="K287" s="2">
        <f t="shared" si="44"/>
        <v>21</v>
      </c>
      <c r="L287" s="2">
        <f t="shared" si="45"/>
        <v>248</v>
      </c>
      <c r="M287" s="3">
        <f>IF(L287&lt;&gt;" ",IF(P286&lt;M286,P286+N287,PMT($O$27,($N$30),-$R286))," ")</f>
        <v>773.3970181413515</v>
      </c>
      <c r="N287" s="3">
        <f t="shared" si="49"/>
        <v>157.96940624431977</v>
      </c>
      <c r="O287" s="3">
        <f t="shared" si="46"/>
        <v>615.4276118970317</v>
      </c>
      <c r="P287" s="3">
        <f t="shared" si="47"/>
        <v>80498.51654436471</v>
      </c>
      <c r="Q287" s="32"/>
      <c r="R287" s="32">
        <f>$G$39-SUM($Q$39:$Q287)</f>
        <v>200000</v>
      </c>
    </row>
    <row r="288" spans="1:18" ht="12.75">
      <c r="A288" s="1">
        <f t="shared" si="39"/>
        <v>48611</v>
      </c>
      <c r="B288" s="2">
        <f t="shared" si="40"/>
        <v>21</v>
      </c>
      <c r="C288" s="2">
        <f t="shared" si="41"/>
        <v>249</v>
      </c>
      <c r="D288" s="3">
        <f t="shared" si="50"/>
        <v>816.4823619977051</v>
      </c>
      <c r="E288" s="3">
        <f t="shared" si="48"/>
        <v>184.6080856098264</v>
      </c>
      <c r="F288" s="3">
        <f t="shared" si="42"/>
        <v>631.8742763878787</v>
      </c>
      <c r="G288" s="3">
        <f t="shared" si="43"/>
        <v>79924.38126244544</v>
      </c>
      <c r="H288" s="32"/>
      <c r="I288" s="32">
        <f>$G$39-SUM($H$39:$H288)</f>
        <v>200000</v>
      </c>
      <c r="J288" s="68"/>
      <c r="K288" s="2">
        <f t="shared" si="44"/>
        <v>21</v>
      </c>
      <c r="L288" s="2">
        <f t="shared" si="45"/>
        <v>249</v>
      </c>
      <c r="M288" s="3">
        <f>IF(L288&lt;&gt;" ",IF(P287&lt;M287,P287+N288,PMT($O$27,($N$30),-$R287))," ")</f>
        <v>773.3970181413515</v>
      </c>
      <c r="N288" s="3">
        <f t="shared" si="49"/>
        <v>156.7708609701503</v>
      </c>
      <c r="O288" s="3">
        <f t="shared" si="46"/>
        <v>616.6261571712012</v>
      </c>
      <c r="P288" s="3">
        <f t="shared" si="47"/>
        <v>79881.89038719352</v>
      </c>
      <c r="Q288" s="32"/>
      <c r="R288" s="32">
        <f>$G$39-SUM($Q$39:$Q288)</f>
        <v>200000</v>
      </c>
    </row>
    <row r="289" spans="1:18" ht="12.75">
      <c r="A289" s="1">
        <f t="shared" si="39"/>
        <v>48639</v>
      </c>
      <c r="B289" s="2">
        <f t="shared" si="40"/>
        <v>21</v>
      </c>
      <c r="C289" s="2">
        <f t="shared" si="41"/>
        <v>250</v>
      </c>
      <c r="D289" s="3">
        <f t="shared" si="50"/>
        <v>816.4823619977051</v>
      </c>
      <c r="E289" s="3">
        <f t="shared" si="48"/>
        <v>183.16004039310414</v>
      </c>
      <c r="F289" s="3">
        <f t="shared" si="42"/>
        <v>633.3223216046009</v>
      </c>
      <c r="G289" s="3">
        <f t="shared" si="43"/>
        <v>79291.05894084084</v>
      </c>
      <c r="H289" s="32"/>
      <c r="I289" s="32">
        <f>$G$39-SUM($H$39:$H289)</f>
        <v>200000</v>
      </c>
      <c r="J289" s="68"/>
      <c r="K289" s="2">
        <f t="shared" si="44"/>
        <v>21</v>
      </c>
      <c r="L289" s="2">
        <f t="shared" si="45"/>
        <v>250</v>
      </c>
      <c r="M289" s="3">
        <f>IF(L289&lt;&gt;" ",IF(P288&lt;M288,P288+N289,PMT($O$27,($N$30),-$R288))," ")</f>
        <v>773.3970181413515</v>
      </c>
      <c r="N289" s="3">
        <f t="shared" si="49"/>
        <v>155.5699815290594</v>
      </c>
      <c r="O289" s="3">
        <f t="shared" si="46"/>
        <v>617.8270366122921</v>
      </c>
      <c r="P289" s="3">
        <f t="shared" si="47"/>
        <v>79264.06335058123</v>
      </c>
      <c r="Q289" s="32"/>
      <c r="R289" s="32">
        <f>$G$39-SUM($Q$39:$Q289)</f>
        <v>200000</v>
      </c>
    </row>
    <row r="290" spans="1:18" ht="12.75">
      <c r="A290" s="1">
        <f t="shared" si="39"/>
        <v>48670</v>
      </c>
      <c r="B290" s="2">
        <f t="shared" si="40"/>
        <v>21</v>
      </c>
      <c r="C290" s="2">
        <f t="shared" si="41"/>
        <v>251</v>
      </c>
      <c r="D290" s="3">
        <f t="shared" si="50"/>
        <v>816.4823619977051</v>
      </c>
      <c r="E290" s="3">
        <f t="shared" si="48"/>
        <v>181.70867673942692</v>
      </c>
      <c r="F290" s="3">
        <f t="shared" si="42"/>
        <v>634.7736852582782</v>
      </c>
      <c r="G290" s="3">
        <f t="shared" si="43"/>
        <v>78656.28525558257</v>
      </c>
      <c r="H290" s="32"/>
      <c r="I290" s="32">
        <f>$G$39-SUM($H$39:$H290)</f>
        <v>200000</v>
      </c>
      <c r="J290" s="68"/>
      <c r="K290" s="2">
        <f t="shared" si="44"/>
        <v>21</v>
      </c>
      <c r="L290" s="2">
        <f t="shared" si="45"/>
        <v>251</v>
      </c>
      <c r="M290" s="3">
        <f>IF(L290&lt;&gt;" ",IF(P289&lt;M289,P289+N290,PMT($O$27,($N$30),-$R289))," ")</f>
        <v>773.3970181413515</v>
      </c>
      <c r="N290" s="3">
        <f t="shared" si="49"/>
        <v>154.36676337525697</v>
      </c>
      <c r="O290" s="3">
        <f t="shared" si="46"/>
        <v>619.0302547660946</v>
      </c>
      <c r="P290" s="3">
        <f t="shared" si="47"/>
        <v>78645.03309581513</v>
      </c>
      <c r="Q290" s="32"/>
      <c r="R290" s="32">
        <f>$G$39-SUM($Q$39:$Q290)</f>
        <v>200000</v>
      </c>
    </row>
    <row r="291" spans="1:18" ht="12.75">
      <c r="A291" s="1">
        <f t="shared" si="39"/>
        <v>48700</v>
      </c>
      <c r="B291" s="2">
        <f t="shared" si="40"/>
        <v>21</v>
      </c>
      <c r="C291" s="2">
        <f t="shared" si="41"/>
        <v>252</v>
      </c>
      <c r="D291" s="3">
        <f t="shared" si="50"/>
        <v>816.4823619977051</v>
      </c>
      <c r="E291" s="3">
        <f t="shared" si="48"/>
        <v>180.25398704404338</v>
      </c>
      <c r="F291" s="3">
        <f t="shared" si="42"/>
        <v>636.2283749536617</v>
      </c>
      <c r="G291" s="3">
        <f t="shared" si="43"/>
        <v>78020.05688062891</v>
      </c>
      <c r="H291" s="32"/>
      <c r="I291" s="32">
        <f>$G$39-SUM($H$39:$H291)</f>
        <v>200000</v>
      </c>
      <c r="J291" s="68"/>
      <c r="K291" s="2">
        <f t="shared" si="44"/>
        <v>21</v>
      </c>
      <c r="L291" s="2">
        <f t="shared" si="45"/>
        <v>252</v>
      </c>
      <c r="M291" s="3">
        <f>IF(L291&lt;&gt;" ",IF(P290&lt;M290,P290+N291,PMT($O$27,($N$30),-$R290))," ")</f>
        <v>773.3970181413515</v>
      </c>
      <c r="N291" s="3">
        <f t="shared" si="49"/>
        <v>153.1612019541</v>
      </c>
      <c r="O291" s="3">
        <f t="shared" si="46"/>
        <v>620.2358161872515</v>
      </c>
      <c r="P291" s="3">
        <f t="shared" si="47"/>
        <v>78024.79727962788</v>
      </c>
      <c r="Q291" s="32"/>
      <c r="R291" s="32">
        <f>$G$39-SUM($Q$39:$Q291)</f>
        <v>200000</v>
      </c>
    </row>
    <row r="292" spans="1:18" ht="12.75">
      <c r="A292" s="1">
        <f t="shared" si="39"/>
        <v>48731</v>
      </c>
      <c r="B292" s="2">
        <f t="shared" si="40"/>
        <v>22</v>
      </c>
      <c r="C292" s="2">
        <f t="shared" si="41"/>
        <v>253</v>
      </c>
      <c r="D292" s="3">
        <f t="shared" si="50"/>
        <v>816.4823619977051</v>
      </c>
      <c r="E292" s="3">
        <f t="shared" si="48"/>
        <v>178.7959636847746</v>
      </c>
      <c r="F292" s="3">
        <f t="shared" si="42"/>
        <v>637.6863983129305</v>
      </c>
      <c r="G292" s="3">
        <f t="shared" si="43"/>
        <v>77382.37048231598</v>
      </c>
      <c r="H292" s="32"/>
      <c r="I292" s="32">
        <f>$G$39-SUM($H$39:$H292)</f>
        <v>200000</v>
      </c>
      <c r="J292" s="68"/>
      <c r="K292" s="2">
        <f t="shared" si="44"/>
        <v>22</v>
      </c>
      <c r="L292" s="2">
        <f t="shared" si="45"/>
        <v>253</v>
      </c>
      <c r="M292" s="3">
        <f>IF(L292&lt;&gt;" ",IF(P291&lt;M291,P291+N292,PMT($O$27,($N$30),-$R291))," ")</f>
        <v>773.3970181413515</v>
      </c>
      <c r="N292" s="3">
        <f t="shared" si="49"/>
        <v>151.95329270207532</v>
      </c>
      <c r="O292" s="3">
        <f t="shared" si="46"/>
        <v>621.4437254392762</v>
      </c>
      <c r="P292" s="3">
        <f t="shared" si="47"/>
        <v>77403.3535541886</v>
      </c>
      <c r="Q292" s="32"/>
      <c r="R292" s="32">
        <f>$G$39-SUM($Q$39:$Q292)</f>
        <v>200000</v>
      </c>
    </row>
    <row r="293" spans="1:18" ht="12.75">
      <c r="A293" s="1">
        <f t="shared" si="39"/>
        <v>48761</v>
      </c>
      <c r="B293" s="2">
        <f t="shared" si="40"/>
        <v>22</v>
      </c>
      <c r="C293" s="2">
        <f t="shared" si="41"/>
        <v>254</v>
      </c>
      <c r="D293" s="3">
        <f t="shared" si="50"/>
        <v>816.4823619977051</v>
      </c>
      <c r="E293" s="3">
        <f t="shared" si="48"/>
        <v>177.33459902197413</v>
      </c>
      <c r="F293" s="3">
        <f t="shared" si="42"/>
        <v>639.147762975731</v>
      </c>
      <c r="G293" s="3">
        <f t="shared" si="43"/>
        <v>76743.22271934025</v>
      </c>
      <c r="H293" s="32"/>
      <c r="I293" s="32">
        <f>$G$39-SUM($H$39:$H293)</f>
        <v>200000</v>
      </c>
      <c r="J293" s="68"/>
      <c r="K293" s="2">
        <f t="shared" si="44"/>
        <v>22</v>
      </c>
      <c r="L293" s="2">
        <f t="shared" si="45"/>
        <v>254</v>
      </c>
      <c r="M293" s="3">
        <f>IF(L293&lt;&gt;" ",IF(P292&lt;M292,P292+N293,PMT($O$27,($N$30),-$R292))," ")</f>
        <v>773.3970181413515</v>
      </c>
      <c r="N293" s="3">
        <f t="shared" si="49"/>
        <v>150.7430310467823</v>
      </c>
      <c r="O293" s="3">
        <f t="shared" si="46"/>
        <v>622.6539870945692</v>
      </c>
      <c r="P293" s="3">
        <f t="shared" si="47"/>
        <v>76780.69956709402</v>
      </c>
      <c r="Q293" s="32"/>
      <c r="R293" s="32">
        <f>$G$39-SUM($Q$39:$Q293)</f>
        <v>200000</v>
      </c>
    </row>
    <row r="294" spans="1:18" ht="12.75">
      <c r="A294" s="1">
        <f t="shared" si="39"/>
        <v>48792</v>
      </c>
      <c r="B294" s="2">
        <f t="shared" si="40"/>
        <v>22</v>
      </c>
      <c r="C294" s="2">
        <f t="shared" si="41"/>
        <v>255</v>
      </c>
      <c r="D294" s="3">
        <f t="shared" si="50"/>
        <v>816.4823619977051</v>
      </c>
      <c r="E294" s="3">
        <f t="shared" si="48"/>
        <v>175.86988539848807</v>
      </c>
      <c r="F294" s="3">
        <f t="shared" si="42"/>
        <v>640.612476599217</v>
      </c>
      <c r="G294" s="3">
        <f t="shared" si="43"/>
        <v>76102.61024274104</v>
      </c>
      <c r="H294" s="32"/>
      <c r="I294" s="32">
        <f>$G$39-SUM($H$39:$H294)</f>
        <v>200000</v>
      </c>
      <c r="J294" s="68"/>
      <c r="K294" s="2">
        <f t="shared" si="44"/>
        <v>22</v>
      </c>
      <c r="L294" s="2">
        <f t="shared" si="45"/>
        <v>255</v>
      </c>
      <c r="M294" s="3">
        <f>IF(L294&lt;&gt;" ",IF(P293&lt;M293,P293+N294,PMT($O$27,($N$30),-$R293))," ")</f>
        <v>773.3970181413515</v>
      </c>
      <c r="N294" s="3">
        <f t="shared" si="49"/>
        <v>149.53041240691562</v>
      </c>
      <c r="O294" s="3">
        <f t="shared" si="46"/>
        <v>623.8666057344359</v>
      </c>
      <c r="P294" s="3">
        <f t="shared" si="47"/>
        <v>76156.83296135959</v>
      </c>
      <c r="Q294" s="32"/>
      <c r="R294" s="32">
        <f>$G$39-SUM($Q$39:$Q294)</f>
        <v>200000</v>
      </c>
    </row>
    <row r="295" spans="1:18" ht="12.75">
      <c r="A295" s="1">
        <f t="shared" si="39"/>
        <v>48823</v>
      </c>
      <c r="B295" s="2">
        <f t="shared" si="40"/>
        <v>22</v>
      </c>
      <c r="C295" s="2">
        <f t="shared" si="41"/>
        <v>256</v>
      </c>
      <c r="D295" s="3">
        <f t="shared" si="50"/>
        <v>816.4823619977051</v>
      </c>
      <c r="E295" s="3">
        <f t="shared" si="48"/>
        <v>174.40181513961488</v>
      </c>
      <c r="F295" s="3">
        <f t="shared" si="42"/>
        <v>642.0805468580902</v>
      </c>
      <c r="G295" s="3">
        <f t="shared" si="43"/>
        <v>75460.52969588294</v>
      </c>
      <c r="H295" s="32"/>
      <c r="I295" s="32">
        <f>$G$39-SUM($H$39:$H295)</f>
        <v>200000</v>
      </c>
      <c r="J295" s="68"/>
      <c r="K295" s="2">
        <f t="shared" si="44"/>
        <v>22</v>
      </c>
      <c r="L295" s="2">
        <f t="shared" si="45"/>
        <v>256</v>
      </c>
      <c r="M295" s="3">
        <f>IF(L295&lt;&gt;" ",IF(P294&lt;M294,P294+N295,PMT($O$27,($N$30),-$R294))," ")</f>
        <v>773.3970181413515</v>
      </c>
      <c r="N295" s="3">
        <f t="shared" si="49"/>
        <v>148.3154321922478</v>
      </c>
      <c r="O295" s="3">
        <f t="shared" si="46"/>
        <v>625.0815859491037</v>
      </c>
      <c r="P295" s="3">
        <f t="shared" si="47"/>
        <v>75531.75137541049</v>
      </c>
      <c r="Q295" s="32"/>
      <c r="R295" s="32">
        <f>$G$39-SUM($Q$39:$Q295)</f>
        <v>200000</v>
      </c>
    </row>
    <row r="296" spans="1:18" ht="12.75">
      <c r="A296" s="1">
        <f t="shared" si="39"/>
        <v>48853</v>
      </c>
      <c r="B296" s="2">
        <f t="shared" si="40"/>
        <v>22</v>
      </c>
      <c r="C296" s="2">
        <f t="shared" si="41"/>
        <v>257</v>
      </c>
      <c r="D296" s="3">
        <f t="shared" si="50"/>
        <v>816.4823619977051</v>
      </c>
      <c r="E296" s="3">
        <f t="shared" si="48"/>
        <v>172.93038055306508</v>
      </c>
      <c r="F296" s="3">
        <f t="shared" si="42"/>
        <v>643.55198144464</v>
      </c>
      <c r="G296" s="3">
        <f t="shared" si="43"/>
        <v>74816.9777144383</v>
      </c>
      <c r="H296" s="32"/>
      <c r="I296" s="32">
        <f>$G$39-SUM($H$39:$H296)</f>
        <v>200000</v>
      </c>
      <c r="J296" s="68"/>
      <c r="K296" s="2">
        <f t="shared" si="44"/>
        <v>22</v>
      </c>
      <c r="L296" s="2">
        <f t="shared" si="45"/>
        <v>257</v>
      </c>
      <c r="M296" s="3">
        <f>IF(L296&lt;&gt;" ",IF(P295&lt;M295,P295+N296,PMT($O$27,($N$30),-$R295))," ")</f>
        <v>773.3970181413515</v>
      </c>
      <c r="N296" s="3">
        <f t="shared" si="49"/>
        <v>147.09808580361195</v>
      </c>
      <c r="O296" s="3">
        <f t="shared" si="46"/>
        <v>626.2989323377395</v>
      </c>
      <c r="P296" s="3">
        <f t="shared" si="47"/>
        <v>74905.45244307275</v>
      </c>
      <c r="Q296" s="32"/>
      <c r="R296" s="32">
        <f>$G$39-SUM($Q$39:$Q296)</f>
        <v>200000</v>
      </c>
    </row>
    <row r="297" spans="1:18" ht="12.75">
      <c r="A297" s="1">
        <f aca="true" t="shared" si="51" ref="A297:A360">IF(B297&lt;&gt;" ",DATE(YEAR(A296),MONTH(A296)+1,DAY(A296)),"")</f>
        <v>48884</v>
      </c>
      <c r="B297" s="2">
        <f aca="true" t="shared" si="52" ref="B297:B304">IF(C297&lt;&gt;" ",INT(C296/12)+1," ")</f>
        <v>22</v>
      </c>
      <c r="C297" s="2">
        <f aca="true" t="shared" si="53" ref="C297:C304">IF(CODE(C296)=32," ",IF(AND(C296+1&lt;=$E$30,G296&gt;0),+C296+1," "))</f>
        <v>258</v>
      </c>
      <c r="D297" s="3">
        <f t="shared" si="50"/>
        <v>816.4823619977051</v>
      </c>
      <c r="E297" s="3">
        <f t="shared" si="48"/>
        <v>171.4555739289211</v>
      </c>
      <c r="F297" s="3">
        <f aca="true" t="shared" si="54" ref="F297:F304">IF(C297&lt;&gt;" ",D297-E297+H297," ")</f>
        <v>645.026788068784</v>
      </c>
      <c r="G297" s="3">
        <f aca="true" t="shared" si="55" ref="G297:G304">IF(C297&lt;&gt;" ",G296-F297," ")</f>
        <v>74171.9509263695</v>
      </c>
      <c r="H297" s="32"/>
      <c r="I297" s="32">
        <f>$G$39-SUM($H$39:$H297)</f>
        <v>200000</v>
      </c>
      <c r="J297" s="68"/>
      <c r="K297" s="2">
        <f aca="true" t="shared" si="56" ref="K297:K304">IF(L297&lt;&gt;" ",INT(L296/12)+1," ")</f>
        <v>22</v>
      </c>
      <c r="L297" s="2">
        <f aca="true" t="shared" si="57" ref="L297:L304">IF(CODE(L296)=32," ",IF(AND(L296+1&lt;=$E$30,P296&gt;0),+L296+1," "))</f>
        <v>258</v>
      </c>
      <c r="M297" s="3">
        <f>IF(L297&lt;&gt;" ",IF(P296&lt;M296,P296+N297,PMT($O$27,($N$30),-$R296))," ")</f>
        <v>773.3970181413515</v>
      </c>
      <c r="N297" s="3">
        <f t="shared" si="49"/>
        <v>145.8783686328842</v>
      </c>
      <c r="O297" s="3">
        <f aca="true" t="shared" si="58" ref="O297:O360">IF(L297&lt;&gt;" ",M297-N297+Q297," ")</f>
        <v>627.5186495084673</v>
      </c>
      <c r="P297" s="3">
        <f aca="true" t="shared" si="59" ref="P297:P304">IF(L297&lt;&gt;" ",P296-O297," ")</f>
        <v>74277.93379356428</v>
      </c>
      <c r="Q297" s="32"/>
      <c r="R297" s="32">
        <f>$G$39-SUM($Q$39:$Q297)</f>
        <v>200000</v>
      </c>
    </row>
    <row r="298" spans="1:18" ht="12.75">
      <c r="A298" s="1">
        <f t="shared" si="51"/>
        <v>48914</v>
      </c>
      <c r="B298" s="2">
        <f t="shared" si="52"/>
        <v>22</v>
      </c>
      <c r="C298" s="2">
        <f t="shared" si="53"/>
        <v>259</v>
      </c>
      <c r="D298" s="3">
        <f t="shared" si="50"/>
        <v>816.4823619977051</v>
      </c>
      <c r="E298" s="3">
        <f t="shared" si="48"/>
        <v>169.97738753959678</v>
      </c>
      <c r="F298" s="3">
        <f t="shared" si="54"/>
        <v>646.5049744581083</v>
      </c>
      <c r="G298" s="3">
        <f t="shared" si="55"/>
        <v>73525.4459519114</v>
      </c>
      <c r="H298" s="32"/>
      <c r="I298" s="32">
        <f>$G$39-SUM($H$39:$H298)</f>
        <v>200000</v>
      </c>
      <c r="J298" s="68"/>
      <c r="K298" s="2">
        <f t="shared" si="56"/>
        <v>22</v>
      </c>
      <c r="L298" s="2">
        <f t="shared" si="57"/>
        <v>259</v>
      </c>
      <c r="M298" s="3">
        <f>IF(L298&lt;&gt;" ",IF(P297&lt;M297,P297+N298,PMT($O$27,($N$30),-$R297))," ")</f>
        <v>773.3970181413515</v>
      </c>
      <c r="N298" s="3">
        <f t="shared" si="49"/>
        <v>144.65627606296647</v>
      </c>
      <c r="O298" s="3">
        <f t="shared" si="58"/>
        <v>628.740742078385</v>
      </c>
      <c r="P298" s="3">
        <f t="shared" si="59"/>
        <v>73649.1930514859</v>
      </c>
      <c r="Q298" s="32"/>
      <c r="R298" s="32">
        <f>$G$39-SUM($Q$39:$Q298)</f>
        <v>200000</v>
      </c>
    </row>
    <row r="299" spans="1:18" ht="12.75">
      <c r="A299" s="1">
        <f t="shared" si="51"/>
        <v>48945</v>
      </c>
      <c r="B299" s="2">
        <f t="shared" si="52"/>
        <v>22</v>
      </c>
      <c r="C299" s="2">
        <f t="shared" si="53"/>
        <v>260</v>
      </c>
      <c r="D299" s="3">
        <f t="shared" si="50"/>
        <v>816.4823619977051</v>
      </c>
      <c r="E299" s="3">
        <f t="shared" si="48"/>
        <v>168.49581363979698</v>
      </c>
      <c r="F299" s="3">
        <f t="shared" si="54"/>
        <v>647.9865483579081</v>
      </c>
      <c r="G299" s="3">
        <f t="shared" si="55"/>
        <v>72877.4594035535</v>
      </c>
      <c r="H299" s="32"/>
      <c r="I299" s="32">
        <f>$G$39-SUM($H$39:$H299)</f>
        <v>200000</v>
      </c>
      <c r="J299" s="68"/>
      <c r="K299" s="2">
        <f t="shared" si="56"/>
        <v>22</v>
      </c>
      <c r="L299" s="2">
        <f t="shared" si="57"/>
        <v>260</v>
      </c>
      <c r="M299" s="3">
        <f>IF(L299&lt;&gt;" ",IF(P298&lt;M298,P298+N299,PMT($O$27,($N$30),-$R298))," ")</f>
        <v>773.3970181413515</v>
      </c>
      <c r="N299" s="3">
        <f t="shared" si="49"/>
        <v>143.43180346776882</v>
      </c>
      <c r="O299" s="3">
        <f t="shared" si="58"/>
        <v>629.9652146735828</v>
      </c>
      <c r="P299" s="3">
        <f t="shared" si="59"/>
        <v>73019.22783681231</v>
      </c>
      <c r="Q299" s="32"/>
      <c r="R299" s="32">
        <f>$G$39-SUM($Q$39:$Q299)</f>
        <v>200000</v>
      </c>
    </row>
    <row r="300" spans="1:18" ht="12.75">
      <c r="A300" s="1">
        <f t="shared" si="51"/>
        <v>48976</v>
      </c>
      <c r="B300" s="2">
        <f t="shared" si="52"/>
        <v>22</v>
      </c>
      <c r="C300" s="2">
        <f t="shared" si="53"/>
        <v>261</v>
      </c>
      <c r="D300" s="3">
        <f t="shared" si="50"/>
        <v>816.4823619977051</v>
      </c>
      <c r="E300" s="3">
        <f t="shared" si="48"/>
        <v>167.01084446647675</v>
      </c>
      <c r="F300" s="3">
        <f t="shared" si="54"/>
        <v>649.4715175312283</v>
      </c>
      <c r="G300" s="3">
        <f t="shared" si="55"/>
        <v>72227.98788602227</v>
      </c>
      <c r="H300" s="32"/>
      <c r="I300" s="32">
        <f>$G$39-SUM($H$39:$H300)</f>
        <v>200000</v>
      </c>
      <c r="J300" s="68"/>
      <c r="K300" s="2">
        <f t="shared" si="56"/>
        <v>22</v>
      </c>
      <c r="L300" s="2">
        <f t="shared" si="57"/>
        <v>261</v>
      </c>
      <c r="M300" s="3">
        <f>IF(L300&lt;&gt;" ",IF(P299&lt;M299,P299+N300,PMT($O$27,($N$30),-$R299))," ")</f>
        <v>773.3970181413515</v>
      </c>
      <c r="N300" s="3">
        <f t="shared" si="49"/>
        <v>142.204946212192</v>
      </c>
      <c r="O300" s="3">
        <f t="shared" si="58"/>
        <v>631.1920719291595</v>
      </c>
      <c r="P300" s="3">
        <f t="shared" si="59"/>
        <v>72388.03576488314</v>
      </c>
      <c r="Q300" s="32"/>
      <c r="R300" s="32">
        <f>$G$39-SUM($Q$39:$Q300)</f>
        <v>200000</v>
      </c>
    </row>
    <row r="301" spans="1:18" ht="12.75">
      <c r="A301" s="1">
        <f t="shared" si="51"/>
        <v>49004</v>
      </c>
      <c r="B301" s="2">
        <f t="shared" si="52"/>
        <v>22</v>
      </c>
      <c r="C301" s="2">
        <f t="shared" si="53"/>
        <v>262</v>
      </c>
      <c r="D301" s="3">
        <f t="shared" si="50"/>
        <v>816.4823619977051</v>
      </c>
      <c r="E301" s="3">
        <f t="shared" si="48"/>
        <v>165.52247223880104</v>
      </c>
      <c r="F301" s="3">
        <f t="shared" si="54"/>
        <v>650.9598897589041</v>
      </c>
      <c r="G301" s="3">
        <f t="shared" si="55"/>
        <v>71577.02799626336</v>
      </c>
      <c r="H301" s="32"/>
      <c r="I301" s="32">
        <f>$G$39-SUM($H$39:$H301)</f>
        <v>200000</v>
      </c>
      <c r="J301" s="68"/>
      <c r="K301" s="2">
        <f t="shared" si="56"/>
        <v>22</v>
      </c>
      <c r="L301" s="2">
        <f t="shared" si="57"/>
        <v>262</v>
      </c>
      <c r="M301" s="3">
        <f>IF(L301&lt;&gt;" ",IF(P300&lt;M300,P300+N301,PMT($O$27,($N$30),-$R300))," ")</f>
        <v>773.3970181413515</v>
      </c>
      <c r="N301" s="3">
        <f t="shared" si="49"/>
        <v>140.97569965210994</v>
      </c>
      <c r="O301" s="3">
        <f t="shared" si="58"/>
        <v>632.4213184892416</v>
      </c>
      <c r="P301" s="3">
        <f t="shared" si="59"/>
        <v>71755.6144463939</v>
      </c>
      <c r="Q301" s="32"/>
      <c r="R301" s="32">
        <f>$G$39-SUM($Q$39:$Q301)</f>
        <v>200000</v>
      </c>
    </row>
    <row r="302" spans="1:18" ht="12.75">
      <c r="A302" s="1">
        <f t="shared" si="51"/>
        <v>49035</v>
      </c>
      <c r="B302" s="2">
        <f t="shared" si="52"/>
        <v>22</v>
      </c>
      <c r="C302" s="2">
        <f t="shared" si="53"/>
        <v>263</v>
      </c>
      <c r="D302" s="3">
        <f t="shared" si="50"/>
        <v>816.4823619977051</v>
      </c>
      <c r="E302" s="3">
        <f t="shared" si="48"/>
        <v>164.03068915810354</v>
      </c>
      <c r="F302" s="3">
        <f t="shared" si="54"/>
        <v>652.4516728396015</v>
      </c>
      <c r="G302" s="3">
        <f t="shared" si="55"/>
        <v>70924.57632342377</v>
      </c>
      <c r="H302" s="32"/>
      <c r="I302" s="32">
        <f>$G$39-SUM($H$39:$H302)</f>
        <v>200000</v>
      </c>
      <c r="J302" s="68"/>
      <c r="K302" s="2">
        <f t="shared" si="56"/>
        <v>22</v>
      </c>
      <c r="L302" s="2">
        <f t="shared" si="57"/>
        <v>263</v>
      </c>
      <c r="M302" s="3">
        <f>IF(L302&lt;&gt;" ",IF(P301&lt;M301,P301+N302,PMT($O$27,($N$30),-$R301))," ")</f>
        <v>773.3970181413515</v>
      </c>
      <c r="N302" s="3">
        <f t="shared" si="49"/>
        <v>139.74405913435214</v>
      </c>
      <c r="O302" s="3">
        <f t="shared" si="58"/>
        <v>633.6529590069994</v>
      </c>
      <c r="P302" s="3">
        <f t="shared" si="59"/>
        <v>71121.9614873869</v>
      </c>
      <c r="Q302" s="32"/>
      <c r="R302" s="32">
        <f>$G$39-SUM($Q$39:$Q302)</f>
        <v>200000</v>
      </c>
    </row>
    <row r="303" spans="1:18" ht="12.75">
      <c r="A303" s="1">
        <f t="shared" si="51"/>
        <v>49065</v>
      </c>
      <c r="B303" s="2">
        <f t="shared" si="52"/>
        <v>22</v>
      </c>
      <c r="C303" s="2">
        <f t="shared" si="53"/>
        <v>264</v>
      </c>
      <c r="D303" s="3">
        <f t="shared" si="50"/>
        <v>816.4823619977051</v>
      </c>
      <c r="E303" s="3">
        <f t="shared" si="48"/>
        <v>162.53548740784615</v>
      </c>
      <c r="F303" s="3">
        <f t="shared" si="54"/>
        <v>653.9468745898589</v>
      </c>
      <c r="G303" s="3">
        <f t="shared" si="55"/>
        <v>70270.6294488339</v>
      </c>
      <c r="H303" s="32"/>
      <c r="I303" s="32">
        <f>$G$39-SUM($H$39:$H303)</f>
        <v>200000</v>
      </c>
      <c r="J303" s="68"/>
      <c r="K303" s="2">
        <f t="shared" si="56"/>
        <v>22</v>
      </c>
      <c r="L303" s="2">
        <f t="shared" si="57"/>
        <v>264</v>
      </c>
      <c r="M303" s="3">
        <f>IF(L303&lt;&gt;" ",IF(P302&lt;M302,P302+N303,PMT($O$27,($N$30),-$R302))," ")</f>
        <v>773.3970181413515</v>
      </c>
      <c r="N303" s="3">
        <f t="shared" si="49"/>
        <v>138.510019996686</v>
      </c>
      <c r="O303" s="3">
        <f t="shared" si="58"/>
        <v>634.8869981446655</v>
      </c>
      <c r="P303" s="3">
        <f t="shared" si="59"/>
        <v>70487.07448924224</v>
      </c>
      <c r="Q303" s="32"/>
      <c r="R303" s="32">
        <f>$G$39-SUM($Q$39:$Q303)</f>
        <v>200000</v>
      </c>
    </row>
    <row r="304" spans="1:18" ht="12.75">
      <c r="A304" s="1">
        <f t="shared" si="51"/>
        <v>49096</v>
      </c>
      <c r="B304" s="2">
        <f t="shared" si="52"/>
        <v>23</v>
      </c>
      <c r="C304" s="2">
        <f t="shared" si="53"/>
        <v>265</v>
      </c>
      <c r="D304" s="3">
        <f t="shared" si="50"/>
        <v>816.4823619977051</v>
      </c>
      <c r="E304" s="3">
        <f t="shared" si="48"/>
        <v>161.0368591535777</v>
      </c>
      <c r="F304" s="3">
        <f t="shared" si="54"/>
        <v>655.4455028441274</v>
      </c>
      <c r="G304" s="3">
        <f t="shared" si="55"/>
        <v>69615.18394598977</v>
      </c>
      <c r="H304" s="32"/>
      <c r="I304" s="32">
        <f>$G$39-SUM($H$39:$H304)</f>
        <v>200000</v>
      </c>
      <c r="J304" s="68"/>
      <c r="K304" s="2">
        <f t="shared" si="56"/>
        <v>23</v>
      </c>
      <c r="L304" s="2">
        <f t="shared" si="57"/>
        <v>265</v>
      </c>
      <c r="M304" s="3">
        <f>IF(L304&lt;&gt;" ",IF(P303&lt;M303,P303+N304,PMT($O$27,($N$30),-$R303))," ")</f>
        <v>773.3970181413515</v>
      </c>
      <c r="N304" s="3">
        <f t="shared" si="49"/>
        <v>137.27357756779926</v>
      </c>
      <c r="O304" s="3">
        <f t="shared" si="58"/>
        <v>636.1234405735522</v>
      </c>
      <c r="P304" s="3">
        <f t="shared" si="59"/>
        <v>69850.95104866868</v>
      </c>
      <c r="Q304" s="32"/>
      <c r="R304" s="32">
        <f>$G$39-SUM($Q$39:$Q304)</f>
        <v>200000</v>
      </c>
    </row>
    <row r="305" spans="1:18" ht="12.75">
      <c r="A305" s="1">
        <f t="shared" si="51"/>
        <v>49126</v>
      </c>
      <c r="B305" s="2">
        <f>IF(C305&lt;&gt;" ",INT(C304/12)+1," ")</f>
        <v>23</v>
      </c>
      <c r="C305" s="2">
        <f>IF(CODE(C304)=32," ",IF(AND(C304+1&lt;=$E$30,G304&gt;0),+C304+1," "))</f>
        <v>266</v>
      </c>
      <c r="D305" s="3">
        <f t="shared" si="50"/>
        <v>816.4823619977051</v>
      </c>
      <c r="E305" s="3">
        <f t="shared" si="48"/>
        <v>159.53479654289325</v>
      </c>
      <c r="F305" s="3">
        <f>IF(C305&lt;&gt;" ",D305-E305+H305," ")</f>
        <v>656.9475654548119</v>
      </c>
      <c r="G305" s="3">
        <f>IF(C305&lt;&gt;" ",G304-F305," ")</f>
        <v>68958.23638053496</v>
      </c>
      <c r="H305" s="32"/>
      <c r="I305" s="32">
        <f>$G$39-SUM($H$39:$H305)</f>
        <v>200000</v>
      </c>
      <c r="J305" s="68"/>
      <c r="K305" s="2">
        <f>IF(L305&lt;&gt;" ",INT(L304/12)+1," ")</f>
        <v>23</v>
      </c>
      <c r="L305" s="2">
        <f>IF(CODE(L304)=32," ",IF(AND(L304+1&lt;=$E$30,P304&gt;0),+L304+1," "))</f>
        <v>266</v>
      </c>
      <c r="M305" s="3">
        <f>IF(L305&lt;&gt;" ",IF(P304&lt;M304,P304+N305,PMT($O$27,($N$30),-$R304))," ")</f>
        <v>773.3970181413515</v>
      </c>
      <c r="N305" s="3">
        <f t="shared" si="49"/>
        <v>136.03472716728226</v>
      </c>
      <c r="O305" s="3">
        <f t="shared" si="58"/>
        <v>637.3622909740693</v>
      </c>
      <c r="P305" s="3">
        <f>IF(L305&lt;&gt;" ",P304-O305," ")</f>
        <v>69213.58875769461</v>
      </c>
      <c r="Q305" s="32"/>
      <c r="R305" s="32">
        <f>$G$39-SUM($Q$39:$Q305)</f>
        <v>200000</v>
      </c>
    </row>
    <row r="306" spans="1:18" ht="12.75">
      <c r="A306" s="1">
        <f t="shared" si="51"/>
        <v>49157</v>
      </c>
      <c r="B306" s="2">
        <f aca="true" t="shared" si="60" ref="B306:B369">IF(C306&lt;&gt;" ",INT(C305/12)+1," ")</f>
        <v>23</v>
      </c>
      <c r="C306" s="2">
        <f aca="true" t="shared" si="61" ref="C306:C369">IF(CODE(C305)=32," ",IF(AND(C305+1&lt;=$E$30,G305&gt;0),+C305+1," "))</f>
        <v>267</v>
      </c>
      <c r="D306" s="3">
        <f t="shared" si="50"/>
        <v>816.4823619977051</v>
      </c>
      <c r="E306" s="3">
        <f t="shared" si="48"/>
        <v>158.0292917053926</v>
      </c>
      <c r="F306" s="3">
        <f aca="true" t="shared" si="62" ref="F306:F369">IF(C306&lt;&gt;" ",D306-E306+H306," ")</f>
        <v>658.4530702923125</v>
      </c>
      <c r="G306" s="3">
        <f aca="true" t="shared" si="63" ref="G306:G369">IF(C306&lt;&gt;" ",G305-F306," ")</f>
        <v>68299.78331024265</v>
      </c>
      <c r="H306" s="32"/>
      <c r="I306" s="32">
        <f>$G$39-SUM($H$39:$H306)</f>
        <v>200000</v>
      </c>
      <c r="J306" s="68"/>
      <c r="K306" s="2">
        <f aca="true" t="shared" si="64" ref="K306:K369">IF(L306&lt;&gt;" ",INT(L305/12)+1," ")</f>
        <v>23</v>
      </c>
      <c r="L306" s="2">
        <f aca="true" t="shared" si="65" ref="L306:L369">IF(CODE(L305)=32," ",IF(AND(L305+1&lt;=$E$30,P305&gt;0),+L305+1," "))</f>
        <v>267</v>
      </c>
      <c r="M306" s="3">
        <f>IF(L306&lt;&gt;" ",IF(P305&lt;M305,P305+N306,PMT($O$27,($N$30),-$R305))," ")</f>
        <v>773.3970181413515</v>
      </c>
      <c r="N306" s="3">
        <f t="shared" si="49"/>
        <v>134.79346410561027</v>
      </c>
      <c r="O306" s="3">
        <f t="shared" si="58"/>
        <v>638.6035540357412</v>
      </c>
      <c r="P306" s="3">
        <f aca="true" t="shared" si="66" ref="P306:P369">IF(L306&lt;&gt;" ",P305-O306," ")</f>
        <v>68574.98520365887</v>
      </c>
      <c r="Q306" s="32"/>
      <c r="R306" s="32">
        <f>$G$39-SUM($Q$39:$Q306)</f>
        <v>200000</v>
      </c>
    </row>
    <row r="307" spans="1:18" ht="12.75">
      <c r="A307" s="1">
        <f t="shared" si="51"/>
        <v>49188</v>
      </c>
      <c r="B307" s="2">
        <f t="shared" si="60"/>
        <v>23</v>
      </c>
      <c r="C307" s="2">
        <f t="shared" si="61"/>
        <v>268</v>
      </c>
      <c r="D307" s="3">
        <f t="shared" si="50"/>
        <v>816.4823619977051</v>
      </c>
      <c r="E307" s="3">
        <f t="shared" si="48"/>
        <v>156.52033675263942</v>
      </c>
      <c r="F307" s="3">
        <f t="shared" si="62"/>
        <v>659.9620252450657</v>
      </c>
      <c r="G307" s="3">
        <f t="shared" si="63"/>
        <v>67639.82128499758</v>
      </c>
      <c r="H307" s="32"/>
      <c r="I307" s="32">
        <f>$G$39-SUM($H$39:$H307)</f>
        <v>200000</v>
      </c>
      <c r="J307" s="68"/>
      <c r="K307" s="2">
        <f t="shared" si="64"/>
        <v>23</v>
      </c>
      <c r="L307" s="2">
        <f t="shared" si="65"/>
        <v>268</v>
      </c>
      <c r="M307" s="3">
        <f>IF(L307&lt;&gt;" ",IF(P306&lt;M306,P306+N307,PMT($O$27,($N$30),-$R306))," ")</f>
        <v>773.3970181413515</v>
      </c>
      <c r="N307" s="3">
        <f t="shared" si="49"/>
        <v>133.54978368412566</v>
      </c>
      <c r="O307" s="3">
        <f t="shared" si="58"/>
        <v>639.8472344572258</v>
      </c>
      <c r="P307" s="3">
        <f t="shared" si="66"/>
        <v>67935.13796920165</v>
      </c>
      <c r="Q307" s="32"/>
      <c r="R307" s="32">
        <f>$G$39-SUM($Q$39:$Q307)</f>
        <v>200000</v>
      </c>
    </row>
    <row r="308" spans="1:18" ht="12.75">
      <c r="A308" s="1">
        <f t="shared" si="51"/>
        <v>49218</v>
      </c>
      <c r="B308" s="2">
        <f t="shared" si="60"/>
        <v>23</v>
      </c>
      <c r="C308" s="2">
        <f t="shared" si="61"/>
        <v>269</v>
      </c>
      <c r="D308" s="3">
        <f t="shared" si="50"/>
        <v>816.4823619977051</v>
      </c>
      <c r="E308" s="3">
        <f t="shared" si="48"/>
        <v>155.00792377811945</v>
      </c>
      <c r="F308" s="3">
        <f t="shared" si="62"/>
        <v>661.4744382195856</v>
      </c>
      <c r="G308" s="3">
        <f t="shared" si="63"/>
        <v>66978.346846778</v>
      </c>
      <c r="H308" s="32"/>
      <c r="I308" s="32">
        <f>$G$39-SUM($H$39:$H308)</f>
        <v>200000</v>
      </c>
      <c r="J308" s="68"/>
      <c r="K308" s="2">
        <f t="shared" si="64"/>
        <v>23</v>
      </c>
      <c r="L308" s="2">
        <f t="shared" si="65"/>
        <v>269</v>
      </c>
      <c r="M308" s="3">
        <f>IF(L308&lt;&gt;" ",IF(P307&lt;M307,P307+N308,PMT($O$27,($N$30),-$R307))," ")</f>
        <v>773.3970181413515</v>
      </c>
      <c r="N308" s="3">
        <f t="shared" si="49"/>
        <v>132.30368119502023</v>
      </c>
      <c r="O308" s="3">
        <f t="shared" si="58"/>
        <v>641.0933369463313</v>
      </c>
      <c r="P308" s="3">
        <f t="shared" si="66"/>
        <v>67294.04463225532</v>
      </c>
      <c r="Q308" s="32"/>
      <c r="R308" s="32">
        <f>$G$39-SUM($Q$39:$Q308)</f>
        <v>200000</v>
      </c>
    </row>
    <row r="309" spans="1:18" ht="12.75">
      <c r="A309" s="1">
        <f t="shared" si="51"/>
        <v>49249</v>
      </c>
      <c r="B309" s="2">
        <f t="shared" si="60"/>
        <v>23</v>
      </c>
      <c r="C309" s="2">
        <f t="shared" si="61"/>
        <v>270</v>
      </c>
      <c r="D309" s="3">
        <f t="shared" si="50"/>
        <v>816.4823619977051</v>
      </c>
      <c r="E309" s="3">
        <f aca="true" t="shared" si="67" ref="E309:E372">IF(C309&lt;&gt;" ",G308*$F$27," ")</f>
        <v>153.4920448571996</v>
      </c>
      <c r="F309" s="3">
        <f t="shared" si="62"/>
        <v>662.9903171405055</v>
      </c>
      <c r="G309" s="3">
        <f t="shared" si="63"/>
        <v>66315.3565296375</v>
      </c>
      <c r="H309" s="32"/>
      <c r="I309" s="32">
        <f>$G$39-SUM($H$39:$H309)</f>
        <v>200000</v>
      </c>
      <c r="J309" s="68"/>
      <c r="K309" s="2">
        <f t="shared" si="64"/>
        <v>23</v>
      </c>
      <c r="L309" s="2">
        <f t="shared" si="65"/>
        <v>270</v>
      </c>
      <c r="M309" s="3">
        <f>IF(L309&lt;&gt;" ",IF(P308&lt;M308,P308+N309,PMT($O$27,($N$30),-$R308))," ")</f>
        <v>773.3970181413515</v>
      </c>
      <c r="N309" s="3">
        <f aca="true" t="shared" si="68" ref="N309:N372">IF(L309&lt;&gt;" ",P308*$O$27," ")</f>
        <v>131.05515192131725</v>
      </c>
      <c r="O309" s="3">
        <f t="shared" si="58"/>
        <v>642.3418662200343</v>
      </c>
      <c r="P309" s="3">
        <f t="shared" si="66"/>
        <v>66651.70276603529</v>
      </c>
      <c r="Q309" s="32"/>
      <c r="R309" s="32">
        <f>$G$39-SUM($Q$39:$Q309)</f>
        <v>200000</v>
      </c>
    </row>
    <row r="310" spans="1:18" ht="12.75">
      <c r="A310" s="1">
        <f t="shared" si="51"/>
        <v>49279</v>
      </c>
      <c r="B310" s="2">
        <f t="shared" si="60"/>
        <v>23</v>
      </c>
      <c r="C310" s="2">
        <f t="shared" si="61"/>
        <v>271</v>
      </c>
      <c r="D310" s="3">
        <f t="shared" si="50"/>
        <v>816.4823619977051</v>
      </c>
      <c r="E310" s="3">
        <f t="shared" si="67"/>
        <v>151.97269204708593</v>
      </c>
      <c r="F310" s="3">
        <f t="shared" si="62"/>
        <v>664.5096699506191</v>
      </c>
      <c r="G310" s="3">
        <f t="shared" si="63"/>
        <v>65650.84685968688</v>
      </c>
      <c r="H310" s="32"/>
      <c r="I310" s="32">
        <f>$G$39-SUM($H$39:$H310)</f>
        <v>200000</v>
      </c>
      <c r="J310" s="68"/>
      <c r="K310" s="2">
        <f t="shared" si="64"/>
        <v>23</v>
      </c>
      <c r="L310" s="2">
        <f t="shared" si="65"/>
        <v>271</v>
      </c>
      <c r="M310" s="3">
        <f>IF(L310&lt;&gt;" ",IF(P309&lt;M309,P309+N310,PMT($O$27,($N$30),-$R309))," ")</f>
        <v>773.3970181413515</v>
      </c>
      <c r="N310" s="3">
        <f t="shared" si="68"/>
        <v>129.80419113685375</v>
      </c>
      <c r="O310" s="3">
        <f t="shared" si="58"/>
        <v>643.5928270044977</v>
      </c>
      <c r="P310" s="3">
        <f t="shared" si="66"/>
        <v>66008.1099390308</v>
      </c>
      <c r="Q310" s="32"/>
      <c r="R310" s="32">
        <f>$G$39-SUM($Q$39:$Q310)</f>
        <v>200000</v>
      </c>
    </row>
    <row r="311" spans="1:18" ht="12.75">
      <c r="A311" s="1">
        <f t="shared" si="51"/>
        <v>49310</v>
      </c>
      <c r="B311" s="2">
        <f t="shared" si="60"/>
        <v>23</v>
      </c>
      <c r="C311" s="2">
        <f t="shared" si="61"/>
        <v>272</v>
      </c>
      <c r="D311" s="3">
        <f t="shared" si="50"/>
        <v>816.4823619977051</v>
      </c>
      <c r="E311" s="3">
        <f t="shared" si="67"/>
        <v>150.44985738678244</v>
      </c>
      <c r="F311" s="3">
        <f t="shared" si="62"/>
        <v>666.0325046109226</v>
      </c>
      <c r="G311" s="3">
        <f t="shared" si="63"/>
        <v>64984.814355075956</v>
      </c>
      <c r="H311" s="32"/>
      <c r="I311" s="32">
        <f>$G$39-SUM($H$39:$H311)</f>
        <v>200000</v>
      </c>
      <c r="J311" s="68"/>
      <c r="K311" s="2">
        <f t="shared" si="64"/>
        <v>23</v>
      </c>
      <c r="L311" s="2">
        <f t="shared" si="65"/>
        <v>272</v>
      </c>
      <c r="M311" s="3">
        <f>IF(L311&lt;&gt;" ",IF(P310&lt;M310,P310+N311,PMT($O$27,($N$30),-$R310))," ")</f>
        <v>773.3970181413515</v>
      </c>
      <c r="N311" s="3">
        <f t="shared" si="68"/>
        <v>128.5507941062625</v>
      </c>
      <c r="O311" s="3">
        <f t="shared" si="58"/>
        <v>644.846224035089</v>
      </c>
      <c r="P311" s="3">
        <f t="shared" si="66"/>
        <v>65363.26371499571</v>
      </c>
      <c r="Q311" s="32"/>
      <c r="R311" s="32">
        <f>$G$39-SUM($Q$39:$Q311)</f>
        <v>200000</v>
      </c>
    </row>
    <row r="312" spans="1:18" ht="12.75">
      <c r="A312" s="1">
        <f t="shared" si="51"/>
        <v>49341</v>
      </c>
      <c r="B312" s="2">
        <f t="shared" si="60"/>
        <v>23</v>
      </c>
      <c r="C312" s="2">
        <f t="shared" si="61"/>
        <v>273</v>
      </c>
      <c r="D312" s="3">
        <f aca="true" t="shared" si="69" ref="D312:D375">IF(C312&lt;&gt;" ",IF(G311&lt;D311,G311+E312,PMT($F$27,($E$30),-I311))," ")</f>
        <v>816.4823619977051</v>
      </c>
      <c r="E312" s="3">
        <f t="shared" si="67"/>
        <v>148.92353289704906</v>
      </c>
      <c r="F312" s="3">
        <f t="shared" si="62"/>
        <v>667.558829100656</v>
      </c>
      <c r="G312" s="3">
        <f t="shared" si="63"/>
        <v>64317.2555259753</v>
      </c>
      <c r="H312" s="32"/>
      <c r="I312" s="32">
        <f>$G$39-SUM($H$39:$H312)</f>
        <v>200000</v>
      </c>
      <c r="J312" s="68"/>
      <c r="K312" s="2">
        <f t="shared" si="64"/>
        <v>23</v>
      </c>
      <c r="L312" s="2">
        <f t="shared" si="65"/>
        <v>273</v>
      </c>
      <c r="M312" s="3">
        <f>IF(L312&lt;&gt;" ",IF(P311&lt;M311,P311+N312,PMT($O$27,($N$30),-$R311))," ")</f>
        <v>773.3970181413515</v>
      </c>
      <c r="N312" s="3">
        <f t="shared" si="68"/>
        <v>127.29495608495415</v>
      </c>
      <c r="O312" s="3">
        <f t="shared" si="58"/>
        <v>646.1020620563974</v>
      </c>
      <c r="P312" s="3">
        <f t="shared" si="66"/>
        <v>64717.161652939314</v>
      </c>
      <c r="Q312" s="32"/>
      <c r="R312" s="32">
        <f>$G$39-SUM($Q$39:$Q312)</f>
        <v>200000</v>
      </c>
    </row>
    <row r="313" spans="1:18" ht="12.75">
      <c r="A313" s="1">
        <f t="shared" si="51"/>
        <v>49369</v>
      </c>
      <c r="B313" s="2">
        <f t="shared" si="60"/>
        <v>23</v>
      </c>
      <c r="C313" s="2">
        <f t="shared" si="61"/>
        <v>274</v>
      </c>
      <c r="D313" s="3">
        <f t="shared" si="69"/>
        <v>816.4823619977051</v>
      </c>
      <c r="E313" s="3">
        <f t="shared" si="67"/>
        <v>147.39371058036005</v>
      </c>
      <c r="F313" s="3">
        <f t="shared" si="62"/>
        <v>669.0886514173451</v>
      </c>
      <c r="G313" s="3">
        <f t="shared" si="63"/>
        <v>63648.16687455795</v>
      </c>
      <c r="H313" s="32"/>
      <c r="I313" s="32">
        <f>$G$39-SUM($H$39:$H313)</f>
        <v>200000</v>
      </c>
      <c r="J313" s="68"/>
      <c r="K313" s="2">
        <f t="shared" si="64"/>
        <v>23</v>
      </c>
      <c r="L313" s="2">
        <f t="shared" si="65"/>
        <v>274</v>
      </c>
      <c r="M313" s="3">
        <f>IF(L313&lt;&gt;" ",IF(P312&lt;M312,P312+N313,PMT($O$27,($N$30),-$R312))," ")</f>
        <v>773.3970181413515</v>
      </c>
      <c r="N313" s="3">
        <f t="shared" si="68"/>
        <v>126.03667231909932</v>
      </c>
      <c r="O313" s="3">
        <f t="shared" si="58"/>
        <v>647.3603458222522</v>
      </c>
      <c r="P313" s="3">
        <f t="shared" si="66"/>
        <v>64069.801307117064</v>
      </c>
      <c r="Q313" s="32"/>
      <c r="R313" s="32">
        <f>$G$39-SUM($Q$39:$Q313)</f>
        <v>200000</v>
      </c>
    </row>
    <row r="314" spans="1:18" ht="12.75">
      <c r="A314" s="1">
        <f t="shared" si="51"/>
        <v>49400</v>
      </c>
      <c r="B314" s="2">
        <f t="shared" si="60"/>
        <v>23</v>
      </c>
      <c r="C314" s="2">
        <f t="shared" si="61"/>
        <v>275</v>
      </c>
      <c r="D314" s="3">
        <f t="shared" si="69"/>
        <v>816.4823619977051</v>
      </c>
      <c r="E314" s="3">
        <f t="shared" si="67"/>
        <v>145.86038242086198</v>
      </c>
      <c r="F314" s="3">
        <f t="shared" si="62"/>
        <v>670.6219795768432</v>
      </c>
      <c r="G314" s="3">
        <f t="shared" si="63"/>
        <v>62977.54489498111</v>
      </c>
      <c r="H314" s="32"/>
      <c r="I314" s="32">
        <f>$G$39-SUM($H$39:$H314)</f>
        <v>200000</v>
      </c>
      <c r="J314" s="68"/>
      <c r="K314" s="2">
        <f t="shared" si="64"/>
        <v>23</v>
      </c>
      <c r="L314" s="2">
        <f t="shared" si="65"/>
        <v>275</v>
      </c>
      <c r="M314" s="3">
        <f>IF(L314&lt;&gt;" ",IF(P313&lt;M313,P313+N314,PMT($O$27,($N$30),-$R313))," ")</f>
        <v>773.3970181413515</v>
      </c>
      <c r="N314" s="3">
        <f t="shared" si="68"/>
        <v>124.7759380456105</v>
      </c>
      <c r="O314" s="3">
        <f t="shared" si="58"/>
        <v>648.621080095741</v>
      </c>
      <c r="P314" s="3">
        <f t="shared" si="66"/>
        <v>63421.18022702132</v>
      </c>
      <c r="Q314" s="32"/>
      <c r="R314" s="32">
        <f>$G$39-SUM($Q$39:$Q314)</f>
        <v>200000</v>
      </c>
    </row>
    <row r="315" spans="1:18" ht="12.75">
      <c r="A315" s="1">
        <f t="shared" si="51"/>
        <v>49430</v>
      </c>
      <c r="B315" s="2">
        <f t="shared" si="60"/>
        <v>23</v>
      </c>
      <c r="C315" s="2">
        <f t="shared" si="61"/>
        <v>276</v>
      </c>
      <c r="D315" s="3">
        <f t="shared" si="69"/>
        <v>816.4823619977051</v>
      </c>
      <c r="E315" s="3">
        <f t="shared" si="67"/>
        <v>144.32354038433172</v>
      </c>
      <c r="F315" s="3">
        <f t="shared" si="62"/>
        <v>672.1588216133733</v>
      </c>
      <c r="G315" s="3">
        <f t="shared" si="63"/>
        <v>62305.386073367736</v>
      </c>
      <c r="H315" s="32"/>
      <c r="I315" s="32">
        <f>$G$39-SUM($H$39:$H315)</f>
        <v>200000</v>
      </c>
      <c r="J315" s="68"/>
      <c r="K315" s="2">
        <f t="shared" si="64"/>
        <v>23</v>
      </c>
      <c r="L315" s="2">
        <f t="shared" si="65"/>
        <v>276</v>
      </c>
      <c r="M315" s="3">
        <f>IF(L315&lt;&gt;" ",IF(P314&lt;M314,P314+N315,PMT($O$27,($N$30),-$R314))," ")</f>
        <v>773.3970181413515</v>
      </c>
      <c r="N315" s="3">
        <f t="shared" si="68"/>
        <v>123.51274849212405</v>
      </c>
      <c r="O315" s="3">
        <f t="shared" si="58"/>
        <v>649.8842696492275</v>
      </c>
      <c r="P315" s="3">
        <f t="shared" si="66"/>
        <v>62771.295957372095</v>
      </c>
      <c r="Q315" s="32"/>
      <c r="R315" s="32">
        <f>$G$39-SUM($Q$39:$Q315)</f>
        <v>200000</v>
      </c>
    </row>
    <row r="316" spans="1:18" ht="12.75">
      <c r="A316" s="1">
        <f t="shared" si="51"/>
        <v>49461</v>
      </c>
      <c r="B316" s="2">
        <f t="shared" si="60"/>
        <v>24</v>
      </c>
      <c r="C316" s="2">
        <f t="shared" si="61"/>
        <v>277</v>
      </c>
      <c r="D316" s="3">
        <f t="shared" si="69"/>
        <v>816.4823619977051</v>
      </c>
      <c r="E316" s="3">
        <f t="shared" si="67"/>
        <v>142.7831764181344</v>
      </c>
      <c r="F316" s="3">
        <f t="shared" si="62"/>
        <v>673.6991855795707</v>
      </c>
      <c r="G316" s="3">
        <f t="shared" si="63"/>
        <v>61631.686887788164</v>
      </c>
      <c r="H316" s="32"/>
      <c r="I316" s="32">
        <f>$G$39-SUM($H$39:$H316)</f>
        <v>200000</v>
      </c>
      <c r="J316" s="68"/>
      <c r="K316" s="2">
        <f t="shared" si="64"/>
        <v>24</v>
      </c>
      <c r="L316" s="2">
        <f t="shared" si="65"/>
        <v>277</v>
      </c>
      <c r="M316" s="3">
        <f>IF(L316&lt;&gt;" ",IF(P315&lt;M315,P315+N316,PMT($O$27,($N$30),-$R315))," ")</f>
        <v>773.3970181413515</v>
      </c>
      <c r="N316" s="3">
        <f t="shared" si="68"/>
        <v>122.24709887698216</v>
      </c>
      <c r="O316" s="3">
        <f t="shared" si="58"/>
        <v>651.1499192643694</v>
      </c>
      <c r="P316" s="3">
        <f t="shared" si="66"/>
        <v>62120.14603810773</v>
      </c>
      <c r="Q316" s="32"/>
      <c r="R316" s="32">
        <f>$G$39-SUM($Q$39:$Q316)</f>
        <v>200000</v>
      </c>
    </row>
    <row r="317" spans="1:18" ht="12.75">
      <c r="A317" s="1">
        <f t="shared" si="51"/>
        <v>49491</v>
      </c>
      <c r="B317" s="2">
        <f t="shared" si="60"/>
        <v>24</v>
      </c>
      <c r="C317" s="2">
        <f t="shared" si="61"/>
        <v>278</v>
      </c>
      <c r="D317" s="3">
        <f t="shared" si="69"/>
        <v>816.4823619977051</v>
      </c>
      <c r="E317" s="3">
        <f t="shared" si="67"/>
        <v>141.2392824511812</v>
      </c>
      <c r="F317" s="3">
        <f t="shared" si="62"/>
        <v>675.2430795465239</v>
      </c>
      <c r="G317" s="3">
        <f t="shared" si="63"/>
        <v>60956.44380824164</v>
      </c>
      <c r="H317" s="32"/>
      <c r="I317" s="32">
        <f>$G$39-SUM($H$39:$H317)</f>
        <v>200000</v>
      </c>
      <c r="J317" s="68"/>
      <c r="K317" s="2">
        <f t="shared" si="64"/>
        <v>24</v>
      </c>
      <c r="L317" s="2">
        <f t="shared" si="65"/>
        <v>278</v>
      </c>
      <c r="M317" s="3">
        <f>IF(L317&lt;&gt;" ",IF(P316&lt;M316,P316+N317,PMT($O$27,($N$30),-$R316))," ")</f>
        <v>773.3970181413515</v>
      </c>
      <c r="N317" s="3">
        <f t="shared" si="68"/>
        <v>120.97898440921482</v>
      </c>
      <c r="O317" s="3">
        <f t="shared" si="58"/>
        <v>652.4180337321367</v>
      </c>
      <c r="P317" s="3">
        <f t="shared" si="66"/>
        <v>61467.72800437559</v>
      </c>
      <c r="Q317" s="32"/>
      <c r="R317" s="32">
        <f>$G$39-SUM($Q$39:$Q317)</f>
        <v>200000</v>
      </c>
    </row>
    <row r="318" spans="1:18" ht="12.75">
      <c r="A318" s="1">
        <f t="shared" si="51"/>
        <v>49522</v>
      </c>
      <c r="B318" s="2">
        <f t="shared" si="60"/>
        <v>24</v>
      </c>
      <c r="C318" s="2">
        <f t="shared" si="61"/>
        <v>279</v>
      </c>
      <c r="D318" s="3">
        <f t="shared" si="69"/>
        <v>816.4823619977051</v>
      </c>
      <c r="E318" s="3">
        <f t="shared" si="67"/>
        <v>139.69185039388708</v>
      </c>
      <c r="F318" s="3">
        <f t="shared" si="62"/>
        <v>676.790511603818</v>
      </c>
      <c r="G318" s="3">
        <f t="shared" si="63"/>
        <v>60279.65329663782</v>
      </c>
      <c r="H318" s="32"/>
      <c r="I318" s="32">
        <f>$G$39-SUM($H$39:$H318)</f>
        <v>200000</v>
      </c>
      <c r="J318" s="68"/>
      <c r="K318" s="2">
        <f t="shared" si="64"/>
        <v>24</v>
      </c>
      <c r="L318" s="2">
        <f t="shared" si="65"/>
        <v>279</v>
      </c>
      <c r="M318" s="3">
        <f>IF(L318&lt;&gt;" ",IF(P317&lt;M317,P317+N318,PMT($O$27,($N$30),-$R317))," ")</f>
        <v>773.3970181413515</v>
      </c>
      <c r="N318" s="3">
        <f t="shared" si="68"/>
        <v>119.70840028852147</v>
      </c>
      <c r="O318" s="3">
        <f t="shared" si="58"/>
        <v>653.68861785283</v>
      </c>
      <c r="P318" s="3">
        <f t="shared" si="66"/>
        <v>60814.03938652276</v>
      </c>
      <c r="Q318" s="32"/>
      <c r="R318" s="32">
        <f>$G$39-SUM($Q$39:$Q318)</f>
        <v>200000</v>
      </c>
    </row>
    <row r="319" spans="1:18" ht="12.75">
      <c r="A319" s="1">
        <f t="shared" si="51"/>
        <v>49553</v>
      </c>
      <c r="B319" s="2">
        <f t="shared" si="60"/>
        <v>24</v>
      </c>
      <c r="C319" s="2">
        <f t="shared" si="61"/>
        <v>280</v>
      </c>
      <c r="D319" s="3">
        <f t="shared" si="69"/>
        <v>816.4823619977051</v>
      </c>
      <c r="E319" s="3">
        <f t="shared" si="67"/>
        <v>138.14087213812834</v>
      </c>
      <c r="F319" s="3">
        <f t="shared" si="62"/>
        <v>678.3414898595768</v>
      </c>
      <c r="G319" s="3">
        <f t="shared" si="63"/>
        <v>59601.31180677824</v>
      </c>
      <c r="H319" s="32"/>
      <c r="I319" s="32">
        <f>$G$39-SUM($H$39:$H319)</f>
        <v>200000</v>
      </c>
      <c r="J319" s="68"/>
      <c r="K319" s="2">
        <f t="shared" si="64"/>
        <v>24</v>
      </c>
      <c r="L319" s="2">
        <f t="shared" si="65"/>
        <v>280</v>
      </c>
      <c r="M319" s="3">
        <f>IF(L319&lt;&gt;" ",IF(P318&lt;M318,P318+N319,PMT($O$27,($N$30),-$R318))," ")</f>
        <v>773.3970181413515</v>
      </c>
      <c r="N319" s="3">
        <f t="shared" si="68"/>
        <v>118.4353417052531</v>
      </c>
      <c r="O319" s="3">
        <f t="shared" si="58"/>
        <v>654.9616764360984</v>
      </c>
      <c r="P319" s="3">
        <f t="shared" si="66"/>
        <v>60159.07771008666</v>
      </c>
      <c r="Q319" s="32"/>
      <c r="R319" s="32">
        <f>$G$39-SUM($Q$39:$Q319)</f>
        <v>200000</v>
      </c>
    </row>
    <row r="320" spans="1:18" ht="12.75">
      <c r="A320" s="1">
        <f t="shared" si="51"/>
        <v>49583</v>
      </c>
      <c r="B320" s="2">
        <f t="shared" si="60"/>
        <v>24</v>
      </c>
      <c r="C320" s="2">
        <f t="shared" si="61"/>
        <v>281</v>
      </c>
      <c r="D320" s="3">
        <f t="shared" si="69"/>
        <v>816.4823619977051</v>
      </c>
      <c r="E320" s="3">
        <f t="shared" si="67"/>
        <v>136.58633955720015</v>
      </c>
      <c r="F320" s="3">
        <f t="shared" si="62"/>
        <v>679.8960224405049</v>
      </c>
      <c r="G320" s="3">
        <f t="shared" si="63"/>
        <v>58921.41578433774</v>
      </c>
      <c r="H320" s="32"/>
      <c r="I320" s="32">
        <f>$G$39-SUM($H$39:$H320)</f>
        <v>200000</v>
      </c>
      <c r="J320" s="68"/>
      <c r="K320" s="2">
        <f t="shared" si="64"/>
        <v>24</v>
      </c>
      <c r="L320" s="2">
        <f t="shared" si="65"/>
        <v>281</v>
      </c>
      <c r="M320" s="3">
        <f>IF(L320&lt;&gt;" ",IF(P319&lt;M319,P319+N320,PMT($O$27,($N$30),-$R319))," ")</f>
        <v>773.3970181413515</v>
      </c>
      <c r="N320" s="3">
        <f t="shared" si="68"/>
        <v>117.15980384039379</v>
      </c>
      <c r="O320" s="3">
        <f t="shared" si="58"/>
        <v>656.2372143009577</v>
      </c>
      <c r="P320" s="3">
        <f t="shared" si="66"/>
        <v>59502.840495785706</v>
      </c>
      <c r="Q320" s="32"/>
      <c r="R320" s="32">
        <f>$G$39-SUM($Q$39:$Q320)</f>
        <v>200000</v>
      </c>
    </row>
    <row r="321" spans="1:18" ht="12.75">
      <c r="A321" s="1">
        <f t="shared" si="51"/>
        <v>49614</v>
      </c>
      <c r="B321" s="2">
        <f t="shared" si="60"/>
        <v>24</v>
      </c>
      <c r="C321" s="2">
        <f t="shared" si="61"/>
        <v>282</v>
      </c>
      <c r="D321" s="3">
        <f t="shared" si="69"/>
        <v>816.4823619977051</v>
      </c>
      <c r="E321" s="3">
        <f t="shared" si="67"/>
        <v>135.02824450577398</v>
      </c>
      <c r="F321" s="3">
        <f t="shared" si="62"/>
        <v>681.4541174919311</v>
      </c>
      <c r="G321" s="3">
        <f t="shared" si="63"/>
        <v>58239.96166684581</v>
      </c>
      <c r="H321" s="32"/>
      <c r="I321" s="32">
        <f>$G$39-SUM($H$39:$H321)</f>
        <v>200000</v>
      </c>
      <c r="J321" s="68"/>
      <c r="K321" s="2">
        <f t="shared" si="64"/>
        <v>24</v>
      </c>
      <c r="L321" s="2">
        <f t="shared" si="65"/>
        <v>282</v>
      </c>
      <c r="M321" s="3">
        <f>IF(L321&lt;&gt;" ",IF(P320&lt;M320,P320+N321,PMT($O$27,($N$30),-$R320))," ")</f>
        <v>773.3970181413515</v>
      </c>
      <c r="N321" s="3">
        <f t="shared" si="68"/>
        <v>115.88178186554268</v>
      </c>
      <c r="O321" s="3">
        <f t="shared" si="58"/>
        <v>657.5152362758088</v>
      </c>
      <c r="P321" s="3">
        <f t="shared" si="66"/>
        <v>58845.3252595099</v>
      </c>
      <c r="Q321" s="32"/>
      <c r="R321" s="32">
        <f>$G$39-SUM($Q$39:$Q321)</f>
        <v>200000</v>
      </c>
    </row>
    <row r="322" spans="1:18" ht="12.75">
      <c r="A322" s="1">
        <f t="shared" si="51"/>
        <v>49644</v>
      </c>
      <c r="B322" s="2">
        <f t="shared" si="60"/>
        <v>24</v>
      </c>
      <c r="C322" s="2">
        <f t="shared" si="61"/>
        <v>283</v>
      </c>
      <c r="D322" s="3">
        <f t="shared" si="69"/>
        <v>816.4823619977051</v>
      </c>
      <c r="E322" s="3">
        <f t="shared" si="67"/>
        <v>133.466578819855</v>
      </c>
      <c r="F322" s="3">
        <f t="shared" si="62"/>
        <v>683.0157831778502</v>
      </c>
      <c r="G322" s="3">
        <f t="shared" si="63"/>
        <v>57556.94588366796</v>
      </c>
      <c r="H322" s="32"/>
      <c r="I322" s="32">
        <f>$G$39-SUM($H$39:$H322)</f>
        <v>200000</v>
      </c>
      <c r="J322" s="68"/>
      <c r="K322" s="2">
        <f t="shared" si="64"/>
        <v>24</v>
      </c>
      <c r="L322" s="2">
        <f t="shared" si="65"/>
        <v>283</v>
      </c>
      <c r="M322" s="3">
        <f>IF(L322&lt;&gt;" ",IF(P321&lt;M321,P321+N322,PMT($O$27,($N$30),-$R321))," ")</f>
        <v>773.3970181413515</v>
      </c>
      <c r="N322" s="3">
        <f t="shared" si="68"/>
        <v>114.60127094289554</v>
      </c>
      <c r="O322" s="3">
        <f t="shared" si="58"/>
        <v>658.795747198456</v>
      </c>
      <c r="P322" s="3">
        <f t="shared" si="66"/>
        <v>58186.52951231144</v>
      </c>
      <c r="Q322" s="32"/>
      <c r="R322" s="32">
        <f>$G$39-SUM($Q$39:$Q322)</f>
        <v>200000</v>
      </c>
    </row>
    <row r="323" spans="1:18" ht="12.75">
      <c r="A323" s="1">
        <f t="shared" si="51"/>
        <v>49675</v>
      </c>
      <c r="B323" s="2">
        <f t="shared" si="60"/>
        <v>24</v>
      </c>
      <c r="C323" s="2">
        <f t="shared" si="61"/>
        <v>284</v>
      </c>
      <c r="D323" s="3">
        <f t="shared" si="69"/>
        <v>816.4823619977051</v>
      </c>
      <c r="E323" s="3">
        <f t="shared" si="67"/>
        <v>131.90133431673908</v>
      </c>
      <c r="F323" s="3">
        <f t="shared" si="62"/>
        <v>684.581027680966</v>
      </c>
      <c r="G323" s="3">
        <f t="shared" si="63"/>
        <v>56872.364855987</v>
      </c>
      <c r="H323" s="32"/>
      <c r="I323" s="32">
        <f>$G$39-SUM($H$39:$H323)</f>
        <v>200000</v>
      </c>
      <c r="J323" s="68"/>
      <c r="K323" s="2">
        <f t="shared" si="64"/>
        <v>24</v>
      </c>
      <c r="L323" s="2">
        <f t="shared" si="65"/>
        <v>284</v>
      </c>
      <c r="M323" s="3">
        <f>IF(L323&lt;&gt;" ",IF(P322&lt;M322,P322+N323,PMT($O$27,($N$30),-$R322))," ")</f>
        <v>773.3970181413515</v>
      </c>
      <c r="N323" s="3">
        <f t="shared" si="68"/>
        <v>113.31826622522655</v>
      </c>
      <c r="O323" s="3">
        <f t="shared" si="58"/>
        <v>660.0787519161249</v>
      </c>
      <c r="P323" s="3">
        <f t="shared" si="66"/>
        <v>57526.45076039532</v>
      </c>
      <c r="Q323" s="32"/>
      <c r="R323" s="32">
        <f>$G$39-SUM($Q$39:$Q323)</f>
        <v>200000</v>
      </c>
    </row>
    <row r="324" spans="1:18" ht="12.75">
      <c r="A324" s="1">
        <f t="shared" si="51"/>
        <v>49706</v>
      </c>
      <c r="B324" s="2">
        <f t="shared" si="60"/>
        <v>24</v>
      </c>
      <c r="C324" s="2">
        <f t="shared" si="61"/>
        <v>285</v>
      </c>
      <c r="D324" s="3">
        <f t="shared" si="69"/>
        <v>816.4823619977051</v>
      </c>
      <c r="E324" s="3">
        <f t="shared" si="67"/>
        <v>130.3325027949702</v>
      </c>
      <c r="F324" s="3">
        <f t="shared" si="62"/>
        <v>686.1498592027349</v>
      </c>
      <c r="G324" s="3">
        <f t="shared" si="63"/>
        <v>56186.21499678426</v>
      </c>
      <c r="H324" s="32"/>
      <c r="I324" s="32">
        <f>$G$39-SUM($H$39:$H324)</f>
        <v>200000</v>
      </c>
      <c r="J324" s="68"/>
      <c r="K324" s="2">
        <f t="shared" si="64"/>
        <v>24</v>
      </c>
      <c r="L324" s="2">
        <f t="shared" si="65"/>
        <v>285</v>
      </c>
      <c r="M324" s="3">
        <f>IF(L324&lt;&gt;" ",IF(P323&lt;M323,P323+N324,PMT($O$27,($N$30),-$R323))," ")</f>
        <v>773.3970181413515</v>
      </c>
      <c r="N324" s="3">
        <f t="shared" si="68"/>
        <v>112.03276285586989</v>
      </c>
      <c r="O324" s="3">
        <f t="shared" si="58"/>
        <v>661.3642552854816</v>
      </c>
      <c r="P324" s="3">
        <f t="shared" si="66"/>
        <v>56865.08650510984</v>
      </c>
      <c r="Q324" s="32"/>
      <c r="R324" s="32">
        <f>$G$39-SUM($Q$39:$Q324)</f>
        <v>200000</v>
      </c>
    </row>
    <row r="325" spans="1:18" ht="12.75">
      <c r="A325" s="1">
        <f t="shared" si="51"/>
        <v>49735</v>
      </c>
      <c r="B325" s="2">
        <f t="shared" si="60"/>
        <v>24</v>
      </c>
      <c r="C325" s="2">
        <f t="shared" si="61"/>
        <v>286</v>
      </c>
      <c r="D325" s="3">
        <f t="shared" si="69"/>
        <v>816.4823619977051</v>
      </c>
      <c r="E325" s="3">
        <f t="shared" si="67"/>
        <v>128.76007603429727</v>
      </c>
      <c r="F325" s="3">
        <f t="shared" si="62"/>
        <v>687.7222859634078</v>
      </c>
      <c r="G325" s="3">
        <f t="shared" si="63"/>
        <v>55498.49271082086</v>
      </c>
      <c r="H325" s="32"/>
      <c r="I325" s="32">
        <f>$G$39-SUM($H$39:$H325)</f>
        <v>200000</v>
      </c>
      <c r="J325" s="68"/>
      <c r="K325" s="2">
        <f t="shared" si="64"/>
        <v>24</v>
      </c>
      <c r="L325" s="2">
        <f t="shared" si="65"/>
        <v>286</v>
      </c>
      <c r="M325" s="3">
        <f>IF(L325&lt;&gt;" ",IF(P324&lt;M324,P324+N325,PMT($O$27,($N$30),-$R324))," ")</f>
        <v>773.3970181413515</v>
      </c>
      <c r="N325" s="3">
        <f t="shared" si="68"/>
        <v>110.74475596870143</v>
      </c>
      <c r="O325" s="3">
        <f t="shared" si="58"/>
        <v>662.6522621726501</v>
      </c>
      <c r="P325" s="3">
        <f t="shared" si="66"/>
        <v>56202.43424293719</v>
      </c>
      <c r="Q325" s="32"/>
      <c r="R325" s="32">
        <f>$G$39-SUM($Q$39:$Q325)</f>
        <v>200000</v>
      </c>
    </row>
    <row r="326" spans="1:18" ht="12.75">
      <c r="A326" s="1">
        <f t="shared" si="51"/>
        <v>49766</v>
      </c>
      <c r="B326" s="2">
        <f t="shared" si="60"/>
        <v>24</v>
      </c>
      <c r="C326" s="2">
        <f t="shared" si="61"/>
        <v>287</v>
      </c>
      <c r="D326" s="3">
        <f t="shared" si="69"/>
        <v>816.4823619977051</v>
      </c>
      <c r="E326" s="3">
        <f t="shared" si="67"/>
        <v>127.18404579563114</v>
      </c>
      <c r="F326" s="3">
        <f t="shared" si="62"/>
        <v>689.2983162020739</v>
      </c>
      <c r="G326" s="3">
        <f t="shared" si="63"/>
        <v>54809.19439461878</v>
      </c>
      <c r="H326" s="32"/>
      <c r="I326" s="32">
        <f>$G$39-SUM($H$39:$H326)</f>
        <v>200000</v>
      </c>
      <c r="J326" s="68"/>
      <c r="K326" s="2">
        <f t="shared" si="64"/>
        <v>24</v>
      </c>
      <c r="L326" s="2">
        <f t="shared" si="65"/>
        <v>287</v>
      </c>
      <c r="M326" s="3">
        <f>IF(L326&lt;&gt;" ",IF(P325&lt;M325,P325+N326,PMT($O$27,($N$30),-$R325))," ")</f>
        <v>773.3970181413515</v>
      </c>
      <c r="N326" s="3">
        <f t="shared" si="68"/>
        <v>109.4542406881202</v>
      </c>
      <c r="O326" s="3">
        <f t="shared" si="58"/>
        <v>663.9427774532313</v>
      </c>
      <c r="P326" s="3">
        <f t="shared" si="66"/>
        <v>55538.49146548396</v>
      </c>
      <c r="Q326" s="32"/>
      <c r="R326" s="32">
        <f>$G$39-SUM($Q$39:$Q326)</f>
        <v>200000</v>
      </c>
    </row>
    <row r="327" spans="1:18" ht="12.75">
      <c r="A327" s="1">
        <f t="shared" si="51"/>
        <v>49796</v>
      </c>
      <c r="B327" s="2">
        <f t="shared" si="60"/>
        <v>24</v>
      </c>
      <c r="C327" s="2">
        <f t="shared" si="61"/>
        <v>288</v>
      </c>
      <c r="D327" s="3">
        <f t="shared" si="69"/>
        <v>816.4823619977051</v>
      </c>
      <c r="E327" s="3">
        <f t="shared" si="67"/>
        <v>125.60440382100137</v>
      </c>
      <c r="F327" s="3">
        <f t="shared" si="62"/>
        <v>690.8779581767037</v>
      </c>
      <c r="G327" s="3">
        <f t="shared" si="63"/>
        <v>54118.31643644208</v>
      </c>
      <c r="H327" s="32"/>
      <c r="I327" s="32">
        <f>$G$39-SUM($H$39:$H327)</f>
        <v>200000</v>
      </c>
      <c r="J327" s="68"/>
      <c r="K327" s="2">
        <f t="shared" si="64"/>
        <v>24</v>
      </c>
      <c r="L327" s="2">
        <f t="shared" si="65"/>
        <v>288</v>
      </c>
      <c r="M327" s="3">
        <f>IF(L327&lt;&gt;" ",IF(P326&lt;M326,P326+N327,PMT($O$27,($N$30),-$R326))," ")</f>
        <v>773.3970181413515</v>
      </c>
      <c r="N327" s="3">
        <f t="shared" si="68"/>
        <v>108.16121212903002</v>
      </c>
      <c r="O327" s="3">
        <f t="shared" si="58"/>
        <v>665.2358060123215</v>
      </c>
      <c r="P327" s="3">
        <f t="shared" si="66"/>
        <v>54873.25565947164</v>
      </c>
      <c r="Q327" s="32"/>
      <c r="R327" s="32">
        <f>$G$39-SUM($Q$39:$Q327)</f>
        <v>200000</v>
      </c>
    </row>
    <row r="328" spans="1:18" ht="12.75">
      <c r="A328" s="1">
        <f t="shared" si="51"/>
        <v>49827</v>
      </c>
      <c r="B328" s="2">
        <f t="shared" si="60"/>
        <v>25</v>
      </c>
      <c r="C328" s="2">
        <f t="shared" si="61"/>
        <v>289</v>
      </c>
      <c r="D328" s="3">
        <f t="shared" si="69"/>
        <v>816.4823619977051</v>
      </c>
      <c r="E328" s="3">
        <f t="shared" si="67"/>
        <v>124.0211418335131</v>
      </c>
      <c r="F328" s="3">
        <f t="shared" si="62"/>
        <v>692.461220164192</v>
      </c>
      <c r="G328" s="3">
        <f t="shared" si="63"/>
        <v>53425.85521627789</v>
      </c>
      <c r="H328" s="32"/>
      <c r="I328" s="32">
        <f>$G$39-SUM($H$39:$H328)</f>
        <v>200000</v>
      </c>
      <c r="J328" s="68"/>
      <c r="K328" s="2">
        <f t="shared" si="64"/>
        <v>25</v>
      </c>
      <c r="L328" s="2">
        <f t="shared" si="65"/>
        <v>289</v>
      </c>
      <c r="M328" s="3">
        <f>IF(L328&lt;&gt;" ",IF(P327&lt;M327,P327+N328,PMT($O$27,($N$30),-$R327))," ")</f>
        <v>773.3970181413515</v>
      </c>
      <c r="N328" s="3">
        <f t="shared" si="68"/>
        <v>106.86566539682103</v>
      </c>
      <c r="O328" s="3">
        <f t="shared" si="58"/>
        <v>666.5313527445305</v>
      </c>
      <c r="P328" s="3">
        <f t="shared" si="66"/>
        <v>54206.724306727105</v>
      </c>
      <c r="Q328" s="32"/>
      <c r="R328" s="32">
        <f>$G$39-SUM($Q$39:$Q328)</f>
        <v>200000</v>
      </c>
    </row>
    <row r="329" spans="1:18" ht="12.75">
      <c r="A329" s="1">
        <f t="shared" si="51"/>
        <v>49857</v>
      </c>
      <c r="B329" s="2">
        <f t="shared" si="60"/>
        <v>25</v>
      </c>
      <c r="C329" s="2">
        <f t="shared" si="61"/>
        <v>290</v>
      </c>
      <c r="D329" s="3">
        <f t="shared" si="69"/>
        <v>816.4823619977051</v>
      </c>
      <c r="E329" s="3">
        <f t="shared" si="67"/>
        <v>122.4342515373035</v>
      </c>
      <c r="F329" s="3">
        <f t="shared" si="62"/>
        <v>694.0481104604016</v>
      </c>
      <c r="G329" s="3">
        <f t="shared" si="63"/>
        <v>52731.80710581748</v>
      </c>
      <c r="H329" s="32"/>
      <c r="I329" s="32">
        <f>$G$39-SUM($H$39:$H329)</f>
        <v>200000</v>
      </c>
      <c r="J329" s="68"/>
      <c r="K329" s="2">
        <f t="shared" si="64"/>
        <v>25</v>
      </c>
      <c r="L329" s="2">
        <f t="shared" si="65"/>
        <v>290</v>
      </c>
      <c r="M329" s="3">
        <f>IF(L329&lt;&gt;" ",IF(P328&lt;M328,P328+N329,PMT($O$27,($N$30),-$R328))," ")</f>
        <v>773.3970181413515</v>
      </c>
      <c r="N329" s="3">
        <f t="shared" si="68"/>
        <v>105.56759558735105</v>
      </c>
      <c r="O329" s="3">
        <f t="shared" si="58"/>
        <v>667.8294225540004</v>
      </c>
      <c r="P329" s="3">
        <f t="shared" si="66"/>
        <v>53538.8948841731</v>
      </c>
      <c r="Q329" s="32"/>
      <c r="R329" s="32">
        <f>$G$39-SUM($Q$39:$Q329)</f>
        <v>200000</v>
      </c>
    </row>
    <row r="330" spans="1:18" ht="12.75">
      <c r="A330" s="1">
        <f t="shared" si="51"/>
        <v>49888</v>
      </c>
      <c r="B330" s="2">
        <f t="shared" si="60"/>
        <v>25</v>
      </c>
      <c r="C330" s="2">
        <f t="shared" si="61"/>
        <v>291</v>
      </c>
      <c r="D330" s="3">
        <f t="shared" si="69"/>
        <v>816.4823619977051</v>
      </c>
      <c r="E330" s="3">
        <f t="shared" si="67"/>
        <v>120.8437246174984</v>
      </c>
      <c r="F330" s="3">
        <f t="shared" si="62"/>
        <v>695.6386373802067</v>
      </c>
      <c r="G330" s="3">
        <f t="shared" si="63"/>
        <v>52036.168468437274</v>
      </c>
      <c r="H330" s="32"/>
      <c r="I330" s="32">
        <f>$G$39-SUM($H$39:$H330)</f>
        <v>200000</v>
      </c>
      <c r="J330" s="68"/>
      <c r="K330" s="2">
        <f t="shared" si="64"/>
        <v>25</v>
      </c>
      <c r="L330" s="2">
        <f t="shared" si="65"/>
        <v>291</v>
      </c>
      <c r="M330" s="3">
        <f>IF(L330&lt;&gt;" ",IF(P329&lt;M329,P329+N330,PMT($O$27,($N$30),-$R329))," ")</f>
        <v>773.3970181413515</v>
      </c>
      <c r="N330" s="3">
        <f t="shared" si="68"/>
        <v>104.26699778692713</v>
      </c>
      <c r="O330" s="3">
        <f t="shared" si="58"/>
        <v>669.1300203544243</v>
      </c>
      <c r="P330" s="3">
        <f t="shared" si="66"/>
        <v>52869.76486381868</v>
      </c>
      <c r="Q330" s="32"/>
      <c r="R330" s="32">
        <f>$G$39-SUM($Q$39:$Q330)</f>
        <v>200000</v>
      </c>
    </row>
    <row r="331" spans="1:18" ht="12.75">
      <c r="A331" s="1">
        <f t="shared" si="51"/>
        <v>49919</v>
      </c>
      <c r="B331" s="2">
        <f t="shared" si="60"/>
        <v>25</v>
      </c>
      <c r="C331" s="2">
        <f t="shared" si="61"/>
        <v>292</v>
      </c>
      <c r="D331" s="3">
        <f t="shared" si="69"/>
        <v>816.4823619977051</v>
      </c>
      <c r="E331" s="3">
        <f t="shared" si="67"/>
        <v>119.24955274016875</v>
      </c>
      <c r="F331" s="3">
        <f t="shared" si="62"/>
        <v>697.2328092575364</v>
      </c>
      <c r="G331" s="3">
        <f t="shared" si="63"/>
        <v>51338.93565917974</v>
      </c>
      <c r="H331" s="32"/>
      <c r="I331" s="32">
        <f>$G$39-SUM($H$39:$H331)</f>
        <v>200000</v>
      </c>
      <c r="J331" s="68"/>
      <c r="K331" s="2">
        <f t="shared" si="64"/>
        <v>25</v>
      </c>
      <c r="L331" s="2">
        <f t="shared" si="65"/>
        <v>292</v>
      </c>
      <c r="M331" s="3">
        <f>IF(L331&lt;&gt;" ",IF(P330&lt;M330,P330+N331,PMT($O$27,($N$30),-$R330))," ")</f>
        <v>773.3970181413515</v>
      </c>
      <c r="N331" s="3">
        <f t="shared" si="68"/>
        <v>102.96386707228689</v>
      </c>
      <c r="O331" s="3">
        <f t="shared" si="58"/>
        <v>670.4331510690646</v>
      </c>
      <c r="P331" s="3">
        <f t="shared" si="66"/>
        <v>52199.33171274961</v>
      </c>
      <c r="Q331" s="32"/>
      <c r="R331" s="32">
        <f>$G$39-SUM($Q$39:$Q331)</f>
        <v>200000</v>
      </c>
    </row>
    <row r="332" spans="1:18" ht="12.75">
      <c r="A332" s="1">
        <f t="shared" si="51"/>
        <v>49949</v>
      </c>
      <c r="B332" s="2">
        <f t="shared" si="60"/>
        <v>25</v>
      </c>
      <c r="C332" s="2">
        <f t="shared" si="61"/>
        <v>293</v>
      </c>
      <c r="D332" s="3">
        <f t="shared" si="69"/>
        <v>816.4823619977051</v>
      </c>
      <c r="E332" s="3">
        <f t="shared" si="67"/>
        <v>117.6517275522869</v>
      </c>
      <c r="F332" s="3">
        <f t="shared" si="62"/>
        <v>698.8306344454181</v>
      </c>
      <c r="G332" s="3">
        <f t="shared" si="63"/>
        <v>50640.10502473432</v>
      </c>
      <c r="H332" s="32"/>
      <c r="I332" s="32">
        <f>$G$39-SUM($H$39:$H332)</f>
        <v>200000</v>
      </c>
      <c r="J332" s="68"/>
      <c r="K332" s="2">
        <f t="shared" si="64"/>
        <v>25</v>
      </c>
      <c r="L332" s="2">
        <f t="shared" si="65"/>
        <v>293</v>
      </c>
      <c r="M332" s="3">
        <f>IF(L332&lt;&gt;" ",IF(P331&lt;M331,P331+N332,PMT($O$27,($N$30),-$R331))," ")</f>
        <v>773.3970181413515</v>
      </c>
      <c r="N332" s="3">
        <f t="shared" si="68"/>
        <v>101.65819851057988</v>
      </c>
      <c r="O332" s="3">
        <f t="shared" si="58"/>
        <v>671.7388196307717</v>
      </c>
      <c r="P332" s="3">
        <f t="shared" si="66"/>
        <v>51527.59289311884</v>
      </c>
      <c r="Q332" s="32"/>
      <c r="R332" s="32">
        <f>$G$39-SUM($Q$39:$Q332)</f>
        <v>200000</v>
      </c>
    </row>
    <row r="333" spans="1:18" ht="12.75">
      <c r="A333" s="1">
        <f t="shared" si="51"/>
        <v>49980</v>
      </c>
      <c r="B333" s="2">
        <f t="shared" si="60"/>
        <v>25</v>
      </c>
      <c r="C333" s="2">
        <f t="shared" si="61"/>
        <v>294</v>
      </c>
      <c r="D333" s="3">
        <f t="shared" si="69"/>
        <v>816.4823619977051</v>
      </c>
      <c r="E333" s="3">
        <f t="shared" si="67"/>
        <v>116.05024068168282</v>
      </c>
      <c r="F333" s="3">
        <f t="shared" si="62"/>
        <v>700.4321213160223</v>
      </c>
      <c r="G333" s="3">
        <f t="shared" si="63"/>
        <v>49939.6729034183</v>
      </c>
      <c r="H333" s="32"/>
      <c r="I333" s="32">
        <f>$G$39-SUM($H$39:$H333)</f>
        <v>200000</v>
      </c>
      <c r="J333" s="68"/>
      <c r="K333" s="2">
        <f t="shared" si="64"/>
        <v>25</v>
      </c>
      <c r="L333" s="2">
        <f t="shared" si="65"/>
        <v>294</v>
      </c>
      <c r="M333" s="3">
        <f>IF(L333&lt;&gt;" ",IF(P332&lt;M332,P332+N333,PMT($O$27,($N$30),-$R332))," ")</f>
        <v>773.3970181413515</v>
      </c>
      <c r="N333" s="3">
        <f t="shared" si="68"/>
        <v>100.34998715934896</v>
      </c>
      <c r="O333" s="3">
        <f t="shared" si="58"/>
        <v>673.0470309820025</v>
      </c>
      <c r="P333" s="3">
        <f t="shared" si="66"/>
        <v>50854.54586213684</v>
      </c>
      <c r="Q333" s="32"/>
      <c r="R333" s="32">
        <f>$G$39-SUM($Q$39:$Q333)</f>
        <v>200000</v>
      </c>
    </row>
    <row r="334" spans="1:18" ht="12.75">
      <c r="A334" s="1">
        <f t="shared" si="51"/>
        <v>50010</v>
      </c>
      <c r="B334" s="2">
        <f t="shared" si="60"/>
        <v>25</v>
      </c>
      <c r="C334" s="2">
        <f t="shared" si="61"/>
        <v>295</v>
      </c>
      <c r="D334" s="3">
        <f t="shared" si="69"/>
        <v>816.4823619977051</v>
      </c>
      <c r="E334" s="3">
        <f t="shared" si="67"/>
        <v>114.44508373700027</v>
      </c>
      <c r="F334" s="3">
        <f t="shared" si="62"/>
        <v>702.0372782607049</v>
      </c>
      <c r="G334" s="3">
        <f t="shared" si="63"/>
        <v>49237.63562515759</v>
      </c>
      <c r="H334" s="32"/>
      <c r="I334" s="32">
        <f>$G$39-SUM($H$39:$H334)</f>
        <v>200000</v>
      </c>
      <c r="J334" s="68"/>
      <c r="K334" s="2">
        <f t="shared" si="64"/>
        <v>25</v>
      </c>
      <c r="L334" s="2">
        <f t="shared" si="65"/>
        <v>295</v>
      </c>
      <c r="M334" s="3">
        <f>IF(L334&lt;&gt;" ",IF(P333&lt;M333,P333+N334,PMT($O$27,($N$30),-$R333))," ")</f>
        <v>773.3970181413515</v>
      </c>
      <c r="N334" s="3">
        <f t="shared" si="68"/>
        <v>99.0392280665115</v>
      </c>
      <c r="O334" s="3">
        <f t="shared" si="58"/>
        <v>674.3577900748401</v>
      </c>
      <c r="P334" s="3">
        <f t="shared" si="66"/>
        <v>50180.188072061996</v>
      </c>
      <c r="Q334" s="32"/>
      <c r="R334" s="32">
        <f>$G$39-SUM($Q$39:$Q334)</f>
        <v>200000</v>
      </c>
    </row>
    <row r="335" spans="1:18" ht="12.75">
      <c r="A335" s="1">
        <f t="shared" si="51"/>
        <v>50041</v>
      </c>
      <c r="B335" s="2">
        <f t="shared" si="60"/>
        <v>25</v>
      </c>
      <c r="C335" s="2">
        <f t="shared" si="61"/>
        <v>296</v>
      </c>
      <c r="D335" s="3">
        <f t="shared" si="69"/>
        <v>816.4823619977051</v>
      </c>
      <c r="E335" s="3">
        <f t="shared" si="67"/>
        <v>112.83624830765282</v>
      </c>
      <c r="F335" s="3">
        <f t="shared" si="62"/>
        <v>703.6461136900523</v>
      </c>
      <c r="G335" s="3">
        <f t="shared" si="63"/>
        <v>48533.98951146754</v>
      </c>
      <c r="H335" s="32"/>
      <c r="I335" s="32">
        <f>$G$39-SUM($H$39:$H335)</f>
        <v>200000</v>
      </c>
      <c r="J335" s="68"/>
      <c r="K335" s="2">
        <f t="shared" si="64"/>
        <v>25</v>
      </c>
      <c r="L335" s="2">
        <f t="shared" si="65"/>
        <v>296</v>
      </c>
      <c r="M335" s="3">
        <f>IF(L335&lt;&gt;" ",IF(P334&lt;M334,P334+N335,PMT($O$27,($N$30),-$R334))," ")</f>
        <v>773.3970181413515</v>
      </c>
      <c r="N335" s="3">
        <f t="shared" si="68"/>
        <v>97.72591627034075</v>
      </c>
      <c r="O335" s="3">
        <f t="shared" si="58"/>
        <v>675.6711018710107</v>
      </c>
      <c r="P335" s="3">
        <f t="shared" si="66"/>
        <v>49504.51697019098</v>
      </c>
      <c r="Q335" s="32"/>
      <c r="R335" s="32">
        <f>$G$39-SUM($Q$39:$Q335)</f>
        <v>200000</v>
      </c>
    </row>
    <row r="336" spans="1:18" ht="12.75">
      <c r="A336" s="1">
        <f t="shared" si="51"/>
        <v>50072</v>
      </c>
      <c r="B336" s="2">
        <f t="shared" si="60"/>
        <v>25</v>
      </c>
      <c r="C336" s="2">
        <f t="shared" si="61"/>
        <v>297</v>
      </c>
      <c r="D336" s="3">
        <f t="shared" si="69"/>
        <v>816.4823619977051</v>
      </c>
      <c r="E336" s="3">
        <f t="shared" si="67"/>
        <v>111.22372596377977</v>
      </c>
      <c r="F336" s="3">
        <f t="shared" si="62"/>
        <v>705.2586360339253</v>
      </c>
      <c r="G336" s="3">
        <f t="shared" si="63"/>
        <v>47828.73087543361</v>
      </c>
      <c r="H336" s="32"/>
      <c r="I336" s="32">
        <f>$G$39-SUM($H$39:$H336)</f>
        <v>200000</v>
      </c>
      <c r="J336" s="68"/>
      <c r="K336" s="2">
        <f t="shared" si="64"/>
        <v>25</v>
      </c>
      <c r="L336" s="2">
        <f t="shared" si="65"/>
        <v>297</v>
      </c>
      <c r="M336" s="3">
        <f>IF(L336&lt;&gt;" ",IF(P335&lt;M335,P335+N336,PMT($O$27,($N$30),-$R335))," ")</f>
        <v>773.3970181413515</v>
      </c>
      <c r="N336" s="3">
        <f t="shared" si="68"/>
        <v>96.41004679944695</v>
      </c>
      <c r="O336" s="3">
        <f t="shared" si="58"/>
        <v>676.9869713419046</v>
      </c>
      <c r="P336" s="3">
        <f t="shared" si="66"/>
        <v>48827.52999884908</v>
      </c>
      <c r="Q336" s="32"/>
      <c r="R336" s="32">
        <f>$G$39-SUM($Q$39:$Q336)</f>
        <v>200000</v>
      </c>
    </row>
    <row r="337" spans="1:18" ht="12.75">
      <c r="A337" s="1">
        <f t="shared" si="51"/>
        <v>50100</v>
      </c>
      <c r="B337" s="2">
        <f t="shared" si="60"/>
        <v>25</v>
      </c>
      <c r="C337" s="2">
        <f t="shared" si="61"/>
        <v>298</v>
      </c>
      <c r="D337" s="3">
        <f t="shared" si="69"/>
        <v>816.4823619977051</v>
      </c>
      <c r="E337" s="3">
        <f t="shared" si="67"/>
        <v>109.60750825620202</v>
      </c>
      <c r="F337" s="3">
        <f t="shared" si="62"/>
        <v>706.8748537415031</v>
      </c>
      <c r="G337" s="3">
        <f t="shared" si="63"/>
        <v>47121.85602169211</v>
      </c>
      <c r="H337" s="32"/>
      <c r="I337" s="32">
        <f>$G$39-SUM($H$39:$H337)</f>
        <v>200000</v>
      </c>
      <c r="J337" s="68"/>
      <c r="K337" s="2">
        <f t="shared" si="64"/>
        <v>25</v>
      </c>
      <c r="L337" s="2">
        <f t="shared" si="65"/>
        <v>298</v>
      </c>
      <c r="M337" s="3">
        <f>IF(L337&lt;&gt;" ",IF(P336&lt;M336,P336+N337,PMT($O$27,($N$30),-$R336))," ")</f>
        <v>773.3970181413515</v>
      </c>
      <c r="N337" s="3">
        <f t="shared" si="68"/>
        <v>95.0916146727586</v>
      </c>
      <c r="O337" s="3">
        <f t="shared" si="58"/>
        <v>678.3054034685929</v>
      </c>
      <c r="P337" s="3">
        <f t="shared" si="66"/>
        <v>48149.22459538049</v>
      </c>
      <c r="Q337" s="32"/>
      <c r="R337" s="32">
        <f>$G$39-SUM($Q$39:$Q337)</f>
        <v>200000</v>
      </c>
    </row>
    <row r="338" spans="1:18" ht="12.75">
      <c r="A338" s="1">
        <f t="shared" si="51"/>
        <v>50131</v>
      </c>
      <c r="B338" s="2">
        <f t="shared" si="60"/>
        <v>25</v>
      </c>
      <c r="C338" s="2">
        <f t="shared" si="61"/>
        <v>299</v>
      </c>
      <c r="D338" s="3">
        <f t="shared" si="69"/>
        <v>816.4823619977051</v>
      </c>
      <c r="E338" s="3">
        <f t="shared" si="67"/>
        <v>107.98758671637775</v>
      </c>
      <c r="F338" s="3">
        <f t="shared" si="62"/>
        <v>708.4947752813273</v>
      </c>
      <c r="G338" s="3">
        <f t="shared" si="63"/>
        <v>46413.36124641079</v>
      </c>
      <c r="H338" s="32"/>
      <c r="I338" s="32">
        <f>$G$39-SUM($H$39:$H338)</f>
        <v>200000</v>
      </c>
      <c r="J338" s="68"/>
      <c r="K338" s="2">
        <f t="shared" si="64"/>
        <v>25</v>
      </c>
      <c r="L338" s="2">
        <f t="shared" si="65"/>
        <v>299</v>
      </c>
      <c r="M338" s="3">
        <f>IF(L338&lt;&gt;" ",IF(P337&lt;M337,P337+N338,PMT($O$27,($N$30),-$R337))," ")</f>
        <v>773.3970181413515</v>
      </c>
      <c r="N338" s="3">
        <f t="shared" si="68"/>
        <v>93.77061489950351</v>
      </c>
      <c r="O338" s="3">
        <f t="shared" si="58"/>
        <v>679.626403241848</v>
      </c>
      <c r="P338" s="3">
        <f t="shared" si="66"/>
        <v>47469.59819213864</v>
      </c>
      <c r="Q338" s="32"/>
      <c r="R338" s="32">
        <f>$G$39-SUM($Q$39:$Q338)</f>
        <v>200000</v>
      </c>
    </row>
    <row r="339" spans="1:18" ht="12.75">
      <c r="A339" s="1">
        <f t="shared" si="51"/>
        <v>50161</v>
      </c>
      <c r="B339" s="2">
        <f t="shared" si="60"/>
        <v>25</v>
      </c>
      <c r="C339" s="2">
        <f t="shared" si="61"/>
        <v>300</v>
      </c>
      <c r="D339" s="3">
        <f t="shared" si="69"/>
        <v>816.4823619977051</v>
      </c>
      <c r="E339" s="3">
        <f t="shared" si="67"/>
        <v>106.36395285635805</v>
      </c>
      <c r="F339" s="3">
        <f t="shared" si="62"/>
        <v>710.118409141347</v>
      </c>
      <c r="G339" s="3">
        <f t="shared" si="63"/>
        <v>45703.24283726944</v>
      </c>
      <c r="H339" s="32"/>
      <c r="I339" s="32">
        <f>$G$39-SUM($H$39:$H339)</f>
        <v>200000</v>
      </c>
      <c r="J339" s="68"/>
      <c r="K339" s="2">
        <f t="shared" si="64"/>
        <v>25</v>
      </c>
      <c r="L339" s="2">
        <f t="shared" si="65"/>
        <v>300</v>
      </c>
      <c r="M339" s="3">
        <f>IF(L339&lt;&gt;" ",IF(P338&lt;M338,P338+N339,PMT($O$27,($N$30),-$R338))," ")</f>
        <v>773.3970181413515</v>
      </c>
      <c r="N339" s="3">
        <f t="shared" si="68"/>
        <v>92.44704247919002</v>
      </c>
      <c r="O339" s="3">
        <f t="shared" si="58"/>
        <v>680.9499756621615</v>
      </c>
      <c r="P339" s="3">
        <f t="shared" si="66"/>
        <v>46788.64821647648</v>
      </c>
      <c r="Q339" s="32"/>
      <c r="R339" s="32">
        <f>$G$39-SUM($Q$39:$Q339)</f>
        <v>200000</v>
      </c>
    </row>
    <row r="340" spans="1:18" ht="12.75">
      <c r="A340" s="1">
        <f t="shared" si="51"/>
        <v>50192</v>
      </c>
      <c r="B340" s="2">
        <f t="shared" si="60"/>
        <v>26</v>
      </c>
      <c r="C340" s="2">
        <f t="shared" si="61"/>
        <v>301</v>
      </c>
      <c r="D340" s="3">
        <f t="shared" si="69"/>
        <v>816.4823619977051</v>
      </c>
      <c r="E340" s="3">
        <f t="shared" si="67"/>
        <v>104.73659816874247</v>
      </c>
      <c r="F340" s="3">
        <f t="shared" si="62"/>
        <v>711.7457638289626</v>
      </c>
      <c r="G340" s="3">
        <f t="shared" si="63"/>
        <v>44991.49707344048</v>
      </c>
      <c r="H340" s="32"/>
      <c r="I340" s="32">
        <f>$G$39-SUM($H$39:$H340)</f>
        <v>200000</v>
      </c>
      <c r="J340" s="68"/>
      <c r="K340" s="2">
        <f t="shared" si="64"/>
        <v>26</v>
      </c>
      <c r="L340" s="2">
        <f t="shared" si="65"/>
        <v>301</v>
      </c>
      <c r="M340" s="3">
        <f>IF(L340&lt;&gt;" ",IF(P339&lt;M339,P339+N340,PMT($O$27,($N$30),-$R339))," ")</f>
        <v>773.3970181413515</v>
      </c>
      <c r="N340" s="3">
        <f t="shared" si="68"/>
        <v>91.12089240158797</v>
      </c>
      <c r="O340" s="3">
        <f t="shared" si="58"/>
        <v>682.2761257397635</v>
      </c>
      <c r="P340" s="3">
        <f t="shared" si="66"/>
        <v>46106.37209073672</v>
      </c>
      <c r="Q340" s="32"/>
      <c r="R340" s="32">
        <f>$G$39-SUM($Q$39:$Q340)</f>
        <v>200000</v>
      </c>
    </row>
    <row r="341" spans="1:18" ht="12.75">
      <c r="A341" s="1">
        <f t="shared" si="51"/>
        <v>50222</v>
      </c>
      <c r="B341" s="2">
        <f t="shared" si="60"/>
        <v>26</v>
      </c>
      <c r="C341" s="2">
        <f t="shared" si="61"/>
        <v>302</v>
      </c>
      <c r="D341" s="3">
        <f t="shared" si="69"/>
        <v>816.4823619977051</v>
      </c>
      <c r="E341" s="3">
        <f t="shared" si="67"/>
        <v>103.10551412663443</v>
      </c>
      <c r="F341" s="3">
        <f t="shared" si="62"/>
        <v>713.3768478710706</v>
      </c>
      <c r="G341" s="3">
        <f t="shared" si="63"/>
        <v>44278.12022556941</v>
      </c>
      <c r="H341" s="32"/>
      <c r="I341" s="32">
        <f>$G$39-SUM($H$39:$H341)</f>
        <v>200000</v>
      </c>
      <c r="J341" s="68"/>
      <c r="K341" s="2">
        <f t="shared" si="64"/>
        <v>26</v>
      </c>
      <c r="L341" s="2">
        <f t="shared" si="65"/>
        <v>302</v>
      </c>
      <c r="M341" s="3">
        <f>IF(L341&lt;&gt;" ",IF(P340&lt;M340,P340+N341,PMT($O$27,($N$30),-$R340))," ")</f>
        <v>773.3970181413515</v>
      </c>
      <c r="N341" s="3">
        <f t="shared" si="68"/>
        <v>89.79215964670976</v>
      </c>
      <c r="O341" s="3">
        <f t="shared" si="58"/>
        <v>683.6048584946418</v>
      </c>
      <c r="P341" s="3">
        <f t="shared" si="66"/>
        <v>45422.76723224208</v>
      </c>
      <c r="Q341" s="32"/>
      <c r="R341" s="32">
        <f>$G$39-SUM($Q$39:$Q341)</f>
        <v>200000</v>
      </c>
    </row>
    <row r="342" spans="1:18" ht="12.75">
      <c r="A342" s="1">
        <f t="shared" si="51"/>
        <v>50253</v>
      </c>
      <c r="B342" s="2">
        <f t="shared" si="60"/>
        <v>26</v>
      </c>
      <c r="C342" s="2">
        <f t="shared" si="61"/>
        <v>303</v>
      </c>
      <c r="D342" s="3">
        <f t="shared" si="69"/>
        <v>816.4823619977051</v>
      </c>
      <c r="E342" s="3">
        <f t="shared" si="67"/>
        <v>101.47069218359655</v>
      </c>
      <c r="F342" s="3">
        <f t="shared" si="62"/>
        <v>715.0116698141085</v>
      </c>
      <c r="G342" s="3">
        <f t="shared" si="63"/>
        <v>43563.1085557553</v>
      </c>
      <c r="H342" s="32"/>
      <c r="I342" s="32">
        <f>$G$39-SUM($H$39:$H342)</f>
        <v>200000</v>
      </c>
      <c r="J342" s="68"/>
      <c r="K342" s="2">
        <f t="shared" si="64"/>
        <v>26</v>
      </c>
      <c r="L342" s="2">
        <f t="shared" si="65"/>
        <v>303</v>
      </c>
      <c r="M342" s="3">
        <f>IF(L342&lt;&gt;" ",IF(P341&lt;M341,P341+N342,PMT($O$27,($N$30),-$R341))," ")</f>
        <v>773.3970181413515</v>
      </c>
      <c r="N342" s="3">
        <f t="shared" si="68"/>
        <v>88.46083918479145</v>
      </c>
      <c r="O342" s="3">
        <f t="shared" si="58"/>
        <v>684.9361789565601</v>
      </c>
      <c r="P342" s="3">
        <f t="shared" si="66"/>
        <v>44737.83105328552</v>
      </c>
      <c r="Q342" s="32"/>
      <c r="R342" s="32">
        <f>$G$39-SUM($Q$39:$Q342)</f>
        <v>200000</v>
      </c>
    </row>
    <row r="343" spans="1:18" ht="12.75">
      <c r="A343" s="1">
        <f t="shared" si="51"/>
        <v>50284</v>
      </c>
      <c r="B343" s="2">
        <f t="shared" si="60"/>
        <v>26</v>
      </c>
      <c r="C343" s="2">
        <f t="shared" si="61"/>
        <v>304</v>
      </c>
      <c r="D343" s="3">
        <f t="shared" si="69"/>
        <v>816.4823619977051</v>
      </c>
      <c r="E343" s="3">
        <f t="shared" si="67"/>
        <v>99.8321237736059</v>
      </c>
      <c r="F343" s="3">
        <f t="shared" si="62"/>
        <v>716.6502382240992</v>
      </c>
      <c r="G343" s="3">
        <f t="shared" si="63"/>
        <v>42846.4583175312</v>
      </c>
      <c r="H343" s="32"/>
      <c r="I343" s="32">
        <f>$G$39-SUM($H$39:$H343)</f>
        <v>200000</v>
      </c>
      <c r="J343" s="68"/>
      <c r="K343" s="2">
        <f t="shared" si="64"/>
        <v>26</v>
      </c>
      <c r="L343" s="2">
        <f t="shared" si="65"/>
        <v>304</v>
      </c>
      <c r="M343" s="3">
        <f>IF(L343&lt;&gt;" ",IF(P342&lt;M342,P342+N343,PMT($O$27,($N$30),-$R342))," ")</f>
        <v>773.3970181413515</v>
      </c>
      <c r="N343" s="3">
        <f t="shared" si="68"/>
        <v>87.12692597627355</v>
      </c>
      <c r="O343" s="3">
        <f t="shared" si="58"/>
        <v>686.2700921650779</v>
      </c>
      <c r="P343" s="3">
        <f t="shared" si="66"/>
        <v>44051.56096112044</v>
      </c>
      <c r="Q343" s="32"/>
      <c r="R343" s="32">
        <f>$G$39-SUM($Q$39:$Q343)</f>
        <v>200000</v>
      </c>
    </row>
    <row r="344" spans="1:18" ht="12.75">
      <c r="A344" s="1">
        <f t="shared" si="51"/>
        <v>50314</v>
      </c>
      <c r="B344" s="2">
        <f t="shared" si="60"/>
        <v>26</v>
      </c>
      <c r="C344" s="2">
        <f t="shared" si="61"/>
        <v>305</v>
      </c>
      <c r="D344" s="3">
        <f t="shared" si="69"/>
        <v>816.4823619977051</v>
      </c>
      <c r="E344" s="3">
        <f t="shared" si="67"/>
        <v>98.189800311009</v>
      </c>
      <c r="F344" s="3">
        <f t="shared" si="62"/>
        <v>718.2925616866961</v>
      </c>
      <c r="G344" s="3">
        <f t="shared" si="63"/>
        <v>42128.1657558445</v>
      </c>
      <c r="H344" s="32"/>
      <c r="I344" s="32">
        <f>$G$39-SUM($H$39:$H344)</f>
        <v>200000</v>
      </c>
      <c r="J344" s="68"/>
      <c r="K344" s="2">
        <f t="shared" si="64"/>
        <v>26</v>
      </c>
      <c r="L344" s="2">
        <f t="shared" si="65"/>
        <v>305</v>
      </c>
      <c r="M344" s="3">
        <f>IF(L344&lt;&gt;" ",IF(P343&lt;M343,P343+N344,PMT($O$27,($N$30),-$R343))," ")</f>
        <v>773.3970181413515</v>
      </c>
      <c r="N344" s="3">
        <f t="shared" si="68"/>
        <v>85.79041497178207</v>
      </c>
      <c r="O344" s="3">
        <f t="shared" si="58"/>
        <v>687.6066031695694</v>
      </c>
      <c r="P344" s="3">
        <f t="shared" si="66"/>
        <v>43363.954357950875</v>
      </c>
      <c r="Q344" s="32"/>
      <c r="R344" s="32">
        <f>$G$39-SUM($Q$39:$Q344)</f>
        <v>200000</v>
      </c>
    </row>
    <row r="345" spans="1:18" ht="12.75">
      <c r="A345" s="1">
        <f t="shared" si="51"/>
        <v>50345</v>
      </c>
      <c r="B345" s="2">
        <f t="shared" si="60"/>
        <v>26</v>
      </c>
      <c r="C345" s="2">
        <f t="shared" si="61"/>
        <v>306</v>
      </c>
      <c r="D345" s="3">
        <f t="shared" si="69"/>
        <v>816.4823619977051</v>
      </c>
      <c r="E345" s="3">
        <f t="shared" si="67"/>
        <v>96.54371319047698</v>
      </c>
      <c r="F345" s="3">
        <f t="shared" si="62"/>
        <v>719.9386488072281</v>
      </c>
      <c r="G345" s="3">
        <f t="shared" si="63"/>
        <v>41408.22710703727</v>
      </c>
      <c r="H345" s="32"/>
      <c r="I345" s="32">
        <f>$G$39-SUM($H$39:$H345)</f>
        <v>200000</v>
      </c>
      <c r="J345" s="68"/>
      <c r="K345" s="2">
        <f t="shared" si="64"/>
        <v>26</v>
      </c>
      <c r="L345" s="2">
        <f t="shared" si="65"/>
        <v>306</v>
      </c>
      <c r="M345" s="3">
        <f>IF(L345&lt;&gt;" ",IF(P344&lt;M344,P344+N345,PMT($O$27,($N$30),-$R344))," ")</f>
        <v>773.3970181413515</v>
      </c>
      <c r="N345" s="3">
        <f t="shared" si="68"/>
        <v>84.45130111210933</v>
      </c>
      <c r="O345" s="3">
        <f t="shared" si="58"/>
        <v>688.9457170292421</v>
      </c>
      <c r="P345" s="3">
        <f t="shared" si="66"/>
        <v>42675.00864092163</v>
      </c>
      <c r="Q345" s="32"/>
      <c r="R345" s="32">
        <f>$G$39-SUM($Q$39:$Q345)</f>
        <v>200000</v>
      </c>
    </row>
    <row r="346" spans="1:18" ht="12.75">
      <c r="A346" s="1">
        <f t="shared" si="51"/>
        <v>50375</v>
      </c>
      <c r="B346" s="2">
        <f t="shared" si="60"/>
        <v>26</v>
      </c>
      <c r="C346" s="2">
        <f t="shared" si="61"/>
        <v>307</v>
      </c>
      <c r="D346" s="3">
        <f t="shared" si="69"/>
        <v>816.4823619977051</v>
      </c>
      <c r="E346" s="3">
        <f t="shared" si="67"/>
        <v>94.89385378696042</v>
      </c>
      <c r="F346" s="3">
        <f t="shared" si="62"/>
        <v>721.5885082107446</v>
      </c>
      <c r="G346" s="3">
        <f t="shared" si="63"/>
        <v>40686.63859882653</v>
      </c>
      <c r="H346" s="32"/>
      <c r="I346" s="32">
        <f>$G$39-SUM($H$39:$H346)</f>
        <v>200000</v>
      </c>
      <c r="J346" s="68"/>
      <c r="K346" s="2">
        <f t="shared" si="64"/>
        <v>26</v>
      </c>
      <c r="L346" s="2">
        <f t="shared" si="65"/>
        <v>307</v>
      </c>
      <c r="M346" s="3">
        <f>IF(L346&lt;&gt;" ",IF(P345&lt;M345,P345+N346,PMT($O$27,($N$30),-$R345))," ")</f>
        <v>773.3970181413515</v>
      </c>
      <c r="N346" s="3">
        <f t="shared" si="68"/>
        <v>83.10957932819488</v>
      </c>
      <c r="O346" s="3">
        <f t="shared" si="58"/>
        <v>690.2874388131567</v>
      </c>
      <c r="P346" s="3">
        <f t="shared" si="66"/>
        <v>41984.72120210848</v>
      </c>
      <c r="Q346" s="32"/>
      <c r="R346" s="32">
        <f>$G$39-SUM($Q$39:$Q346)</f>
        <v>200000</v>
      </c>
    </row>
    <row r="347" spans="1:18" ht="12.75">
      <c r="A347" s="1">
        <f t="shared" si="51"/>
        <v>50406</v>
      </c>
      <c r="B347" s="2">
        <f t="shared" si="60"/>
        <v>26</v>
      </c>
      <c r="C347" s="2">
        <f t="shared" si="61"/>
        <v>308</v>
      </c>
      <c r="D347" s="3">
        <f t="shared" si="69"/>
        <v>816.4823619977051</v>
      </c>
      <c r="E347" s="3">
        <f t="shared" si="67"/>
        <v>93.24021345564414</v>
      </c>
      <c r="F347" s="3">
        <f t="shared" si="62"/>
        <v>723.2421485420609</v>
      </c>
      <c r="G347" s="3">
        <f t="shared" si="63"/>
        <v>39963.39645028447</v>
      </c>
      <c r="H347" s="32"/>
      <c r="I347" s="32">
        <f>$G$39-SUM($H$39:$H347)</f>
        <v>200000</v>
      </c>
      <c r="J347" s="68"/>
      <c r="K347" s="2">
        <f t="shared" si="64"/>
        <v>26</v>
      </c>
      <c r="L347" s="2">
        <f t="shared" si="65"/>
        <v>308</v>
      </c>
      <c r="M347" s="3">
        <f>IF(L347&lt;&gt;" ",IF(P346&lt;M346,P346+N347,PMT($O$27,($N$30),-$R346))," ")</f>
        <v>773.3970181413515</v>
      </c>
      <c r="N347" s="3">
        <f t="shared" si="68"/>
        <v>81.76524454110627</v>
      </c>
      <c r="O347" s="3">
        <f t="shared" si="58"/>
        <v>691.6317736002452</v>
      </c>
      <c r="P347" s="3">
        <f t="shared" si="66"/>
        <v>41293.08942850823</v>
      </c>
      <c r="Q347" s="32"/>
      <c r="R347" s="32">
        <f>$G$39-SUM($Q$39:$Q347)</f>
        <v>200000</v>
      </c>
    </row>
    <row r="348" spans="1:18" ht="12.75">
      <c r="A348" s="1">
        <f t="shared" si="51"/>
        <v>50437</v>
      </c>
      <c r="B348" s="2">
        <f t="shared" si="60"/>
        <v>26</v>
      </c>
      <c r="C348" s="2">
        <f t="shared" si="61"/>
        <v>309</v>
      </c>
      <c r="D348" s="3">
        <f t="shared" si="69"/>
        <v>816.4823619977051</v>
      </c>
      <c r="E348" s="3">
        <f t="shared" si="67"/>
        <v>91.58278353190191</v>
      </c>
      <c r="F348" s="3">
        <f t="shared" si="62"/>
        <v>724.8995784658032</v>
      </c>
      <c r="G348" s="3">
        <f t="shared" si="63"/>
        <v>39238.496871818665</v>
      </c>
      <c r="H348" s="32"/>
      <c r="I348" s="32">
        <f>$G$39-SUM($H$39:$H348)</f>
        <v>200000</v>
      </c>
      <c r="J348" s="68"/>
      <c r="K348" s="2">
        <f t="shared" si="64"/>
        <v>26</v>
      </c>
      <c r="L348" s="2">
        <f t="shared" si="65"/>
        <v>309</v>
      </c>
      <c r="M348" s="3">
        <f>IF(L348&lt;&gt;" ",IF(P347&lt;M347,P347+N348,PMT($O$27,($N$30),-$R347))," ")</f>
        <v>773.3970181413515</v>
      </c>
      <c r="N348" s="3">
        <f t="shared" si="68"/>
        <v>80.4182916620198</v>
      </c>
      <c r="O348" s="3">
        <f t="shared" si="58"/>
        <v>692.9787264793317</v>
      </c>
      <c r="P348" s="3">
        <f t="shared" si="66"/>
        <v>40600.1107020289</v>
      </c>
      <c r="Q348" s="32"/>
      <c r="R348" s="32">
        <f>$G$39-SUM($Q$39:$Q348)</f>
        <v>200000</v>
      </c>
    </row>
    <row r="349" spans="1:18" ht="12.75">
      <c r="A349" s="1">
        <f t="shared" si="51"/>
        <v>50465</v>
      </c>
      <c r="B349" s="2">
        <f t="shared" si="60"/>
        <v>26</v>
      </c>
      <c r="C349" s="2">
        <f t="shared" si="61"/>
        <v>310</v>
      </c>
      <c r="D349" s="3">
        <f t="shared" si="69"/>
        <v>816.4823619977051</v>
      </c>
      <c r="E349" s="3">
        <f t="shared" si="67"/>
        <v>89.92155533125111</v>
      </c>
      <c r="F349" s="3">
        <f t="shared" si="62"/>
        <v>726.560806666454</v>
      </c>
      <c r="G349" s="3">
        <f t="shared" si="63"/>
        <v>38511.93606515221</v>
      </c>
      <c r="H349" s="32"/>
      <c r="I349" s="32">
        <f>$G$39-SUM($H$39:$H349)</f>
        <v>200000</v>
      </c>
      <c r="J349" s="68"/>
      <c r="K349" s="2">
        <f t="shared" si="64"/>
        <v>26</v>
      </c>
      <c r="L349" s="2">
        <f t="shared" si="65"/>
        <v>310</v>
      </c>
      <c r="M349" s="3">
        <f>IF(L349&lt;&gt;" ",IF(P348&lt;M348,P348+N349,PMT($O$27,($N$30),-$R348))," ")</f>
        <v>773.3970181413515</v>
      </c>
      <c r="N349" s="3">
        <f t="shared" si="68"/>
        <v>79.06871559220129</v>
      </c>
      <c r="O349" s="3">
        <f t="shared" si="58"/>
        <v>694.3283025491502</v>
      </c>
      <c r="P349" s="3">
        <f t="shared" si="66"/>
        <v>39905.78239947975</v>
      </c>
      <c r="Q349" s="32"/>
      <c r="R349" s="32">
        <f>$G$39-SUM($Q$39:$Q349)</f>
        <v>200000</v>
      </c>
    </row>
    <row r="350" spans="1:18" ht="12.75">
      <c r="A350" s="1">
        <f t="shared" si="51"/>
        <v>50496</v>
      </c>
      <c r="B350" s="2">
        <f t="shared" si="60"/>
        <v>26</v>
      </c>
      <c r="C350" s="2">
        <f t="shared" si="61"/>
        <v>311</v>
      </c>
      <c r="D350" s="3">
        <f t="shared" si="69"/>
        <v>816.4823619977051</v>
      </c>
      <c r="E350" s="3">
        <f t="shared" si="67"/>
        <v>88.25652014930714</v>
      </c>
      <c r="F350" s="3">
        <f t="shared" si="62"/>
        <v>728.225841848398</v>
      </c>
      <c r="G350" s="3">
        <f t="shared" si="63"/>
        <v>37783.71022330381</v>
      </c>
      <c r="H350" s="32"/>
      <c r="I350" s="32">
        <f>$G$39-SUM($H$39:$H350)</f>
        <v>200000</v>
      </c>
      <c r="J350" s="68"/>
      <c r="K350" s="2">
        <f t="shared" si="64"/>
        <v>26</v>
      </c>
      <c r="L350" s="2">
        <f t="shared" si="65"/>
        <v>311</v>
      </c>
      <c r="M350" s="3">
        <f>IF(L350&lt;&gt;" ",IF(P349&lt;M349,P349+N350,PMT($O$27,($N$30),-$R349))," ")</f>
        <v>773.3970181413515</v>
      </c>
      <c r="N350" s="3">
        <f t="shared" si="68"/>
        <v>77.71651122298682</v>
      </c>
      <c r="O350" s="3">
        <f t="shared" si="58"/>
        <v>695.6805069183647</v>
      </c>
      <c r="P350" s="3">
        <f t="shared" si="66"/>
        <v>39210.10189256139</v>
      </c>
      <c r="Q350" s="32"/>
      <c r="R350" s="32">
        <f>$G$39-SUM($Q$39:$Q350)</f>
        <v>200000</v>
      </c>
    </row>
    <row r="351" spans="1:18" ht="12.75">
      <c r="A351" s="1">
        <f t="shared" si="51"/>
        <v>50526</v>
      </c>
      <c r="B351" s="2">
        <f t="shared" si="60"/>
        <v>26</v>
      </c>
      <c r="C351" s="2">
        <f t="shared" si="61"/>
        <v>312</v>
      </c>
      <c r="D351" s="3">
        <f t="shared" si="69"/>
        <v>816.4823619977051</v>
      </c>
      <c r="E351" s="3">
        <f t="shared" si="67"/>
        <v>86.5876692617379</v>
      </c>
      <c r="F351" s="3">
        <f t="shared" si="62"/>
        <v>729.8946927359672</v>
      </c>
      <c r="G351" s="3">
        <f t="shared" si="63"/>
        <v>37053.815530567845</v>
      </c>
      <c r="H351" s="32"/>
      <c r="I351" s="32">
        <f>$G$39-SUM($H$39:$H351)</f>
        <v>200000</v>
      </c>
      <c r="J351" s="68"/>
      <c r="K351" s="2">
        <f t="shared" si="64"/>
        <v>26</v>
      </c>
      <c r="L351" s="2">
        <f t="shared" si="65"/>
        <v>312</v>
      </c>
      <c r="M351" s="3">
        <f>IF(L351&lt;&gt;" ",IF(P350&lt;M350,P350+N351,PMT($O$27,($N$30),-$R350))," ")</f>
        <v>773.3970181413515</v>
      </c>
      <c r="N351" s="3">
        <f t="shared" si="68"/>
        <v>76.36167343576332</v>
      </c>
      <c r="O351" s="3">
        <f t="shared" si="58"/>
        <v>697.0353447055882</v>
      </c>
      <c r="P351" s="3">
        <f t="shared" si="66"/>
        <v>38513.0665478558</v>
      </c>
      <c r="Q351" s="32"/>
      <c r="R351" s="32">
        <f>$G$39-SUM($Q$39:$Q351)</f>
        <v>200000</v>
      </c>
    </row>
    <row r="352" spans="1:18" ht="12.75">
      <c r="A352" s="1">
        <f t="shared" si="51"/>
        <v>50557</v>
      </c>
      <c r="B352" s="2">
        <f t="shared" si="60"/>
        <v>27</v>
      </c>
      <c r="C352" s="2">
        <f t="shared" si="61"/>
        <v>313</v>
      </c>
      <c r="D352" s="3">
        <f t="shared" si="69"/>
        <v>816.4823619977051</v>
      </c>
      <c r="E352" s="3">
        <f t="shared" si="67"/>
        <v>84.91499392421798</v>
      </c>
      <c r="F352" s="3">
        <f t="shared" si="62"/>
        <v>731.5673680734872</v>
      </c>
      <c r="G352" s="3">
        <f t="shared" si="63"/>
        <v>36322.24816249436</v>
      </c>
      <c r="H352" s="32"/>
      <c r="I352" s="32">
        <f>$G$39-SUM($H$39:$H352)</f>
        <v>200000</v>
      </c>
      <c r="J352" s="68"/>
      <c r="K352" s="2">
        <f t="shared" si="64"/>
        <v>27</v>
      </c>
      <c r="L352" s="2">
        <f t="shared" si="65"/>
        <v>313</v>
      </c>
      <c r="M352" s="3">
        <f>IF(L352&lt;&gt;" ",IF(P351&lt;M351,P351+N352,PMT($O$27,($N$30),-$R351))," ")</f>
        <v>773.3970181413515</v>
      </c>
      <c r="N352" s="3">
        <f t="shared" si="68"/>
        <v>75.00419710194917</v>
      </c>
      <c r="O352" s="3">
        <f t="shared" si="58"/>
        <v>698.3928210394023</v>
      </c>
      <c r="P352" s="3">
        <f t="shared" si="66"/>
        <v>37814.6737268164</v>
      </c>
      <c r="Q352" s="32"/>
      <c r="R352" s="32">
        <f>$G$39-SUM($Q$39:$Q352)</f>
        <v>200000</v>
      </c>
    </row>
    <row r="353" spans="1:18" ht="12.75">
      <c r="A353" s="1">
        <f t="shared" si="51"/>
        <v>50587</v>
      </c>
      <c r="B353" s="2">
        <f t="shared" si="60"/>
        <v>27</v>
      </c>
      <c r="C353" s="2">
        <f t="shared" si="61"/>
        <v>314</v>
      </c>
      <c r="D353" s="3">
        <f t="shared" si="69"/>
        <v>816.4823619977051</v>
      </c>
      <c r="E353" s="3">
        <f t="shared" si="67"/>
        <v>83.23848537238291</v>
      </c>
      <c r="F353" s="3">
        <f t="shared" si="62"/>
        <v>733.2438766253222</v>
      </c>
      <c r="G353" s="3">
        <f t="shared" si="63"/>
        <v>35589.004285869036</v>
      </c>
      <c r="H353" s="32"/>
      <c r="I353" s="32">
        <f>$G$39-SUM($H$39:$H353)</f>
        <v>200000</v>
      </c>
      <c r="J353" s="68"/>
      <c r="K353" s="2">
        <f t="shared" si="64"/>
        <v>27</v>
      </c>
      <c r="L353" s="2">
        <f t="shared" si="65"/>
        <v>314</v>
      </c>
      <c r="M353" s="3">
        <f>IF(L353&lt;&gt;" ",IF(P352&lt;M352,P352+N353,PMT($O$27,($N$30),-$R352))," ")</f>
        <v>773.3970181413515</v>
      </c>
      <c r="N353" s="3">
        <f t="shared" si="68"/>
        <v>73.64407708297495</v>
      </c>
      <c r="O353" s="3">
        <f t="shared" si="58"/>
        <v>699.7529410583766</v>
      </c>
      <c r="P353" s="3">
        <f t="shared" si="66"/>
        <v>37114.920785758026</v>
      </c>
      <c r="Q353" s="32"/>
      <c r="R353" s="32">
        <f>$G$39-SUM($Q$39:$Q353)</f>
        <v>200000</v>
      </c>
    </row>
    <row r="354" spans="1:18" ht="12.75">
      <c r="A354" s="1">
        <f t="shared" si="51"/>
        <v>50618</v>
      </c>
      <c r="B354" s="2">
        <f t="shared" si="60"/>
        <v>27</v>
      </c>
      <c r="C354" s="2">
        <f t="shared" si="61"/>
        <v>315</v>
      </c>
      <c r="D354" s="3">
        <f t="shared" si="69"/>
        <v>816.4823619977051</v>
      </c>
      <c r="E354" s="3">
        <f t="shared" si="67"/>
        <v>81.55813482178321</v>
      </c>
      <c r="F354" s="3">
        <f t="shared" si="62"/>
        <v>734.9242271759218</v>
      </c>
      <c r="G354" s="3">
        <f t="shared" si="63"/>
        <v>34854.080058693115</v>
      </c>
      <c r="H354" s="32"/>
      <c r="I354" s="32">
        <f>$G$39-SUM($H$39:$H354)</f>
        <v>200000</v>
      </c>
      <c r="J354" s="68"/>
      <c r="K354" s="2">
        <f t="shared" si="64"/>
        <v>27</v>
      </c>
      <c r="L354" s="2">
        <f t="shared" si="65"/>
        <v>315</v>
      </c>
      <c r="M354" s="3">
        <f>IF(L354&lt;&gt;" ",IF(P353&lt;M353,P353+N354,PMT($O$27,($N$30),-$R353))," ")</f>
        <v>773.3970181413515</v>
      </c>
      <c r="N354" s="3">
        <f t="shared" si="68"/>
        <v>72.28130823026376</v>
      </c>
      <c r="O354" s="3">
        <f t="shared" si="58"/>
        <v>701.1157099110877</v>
      </c>
      <c r="P354" s="3">
        <f t="shared" si="66"/>
        <v>36413.80507584694</v>
      </c>
      <c r="Q354" s="32"/>
      <c r="R354" s="32">
        <f>$G$39-SUM($Q$39:$Q354)</f>
        <v>200000</v>
      </c>
    </row>
    <row r="355" spans="1:18" ht="12.75">
      <c r="A355" s="1">
        <f t="shared" si="51"/>
        <v>50649</v>
      </c>
      <c r="B355" s="2">
        <f t="shared" si="60"/>
        <v>27</v>
      </c>
      <c r="C355" s="2">
        <f t="shared" si="61"/>
        <v>316</v>
      </c>
      <c r="D355" s="3">
        <f t="shared" si="69"/>
        <v>816.4823619977051</v>
      </c>
      <c r="E355" s="3">
        <f t="shared" si="67"/>
        <v>79.87393346783838</v>
      </c>
      <c r="F355" s="3">
        <f t="shared" si="62"/>
        <v>736.6084285298667</v>
      </c>
      <c r="G355" s="3">
        <f t="shared" si="63"/>
        <v>34117.47163016325</v>
      </c>
      <c r="H355" s="32"/>
      <c r="I355" s="32">
        <f>$G$39-SUM($H$39:$H355)</f>
        <v>200000</v>
      </c>
      <c r="J355" s="68"/>
      <c r="K355" s="2">
        <f t="shared" si="64"/>
        <v>27</v>
      </c>
      <c r="L355" s="2">
        <f t="shared" si="65"/>
        <v>316</v>
      </c>
      <c r="M355" s="3">
        <f>IF(L355&lt;&gt;" ",IF(P354&lt;M354,P354+N355,PMT($O$27,($N$30),-$R354))," ")</f>
        <v>773.3970181413515</v>
      </c>
      <c r="N355" s="3">
        <f t="shared" si="68"/>
        <v>70.91588538521192</v>
      </c>
      <c r="O355" s="3">
        <f t="shared" si="58"/>
        <v>702.4811327561396</v>
      </c>
      <c r="P355" s="3">
        <f t="shared" si="66"/>
        <v>35711.3239430908</v>
      </c>
      <c r="Q355" s="32"/>
      <c r="R355" s="32">
        <f>$G$39-SUM($Q$39:$Q355)</f>
        <v>200000</v>
      </c>
    </row>
    <row r="356" spans="1:18" ht="12.75">
      <c r="A356" s="1">
        <f t="shared" si="51"/>
        <v>50679</v>
      </c>
      <c r="B356" s="2">
        <f t="shared" si="60"/>
        <v>27</v>
      </c>
      <c r="C356" s="2">
        <f t="shared" si="61"/>
        <v>317</v>
      </c>
      <c r="D356" s="3">
        <f t="shared" si="69"/>
        <v>816.4823619977051</v>
      </c>
      <c r="E356" s="3">
        <f t="shared" si="67"/>
        <v>78.18587248579078</v>
      </c>
      <c r="F356" s="3">
        <f t="shared" si="62"/>
        <v>738.2964895119143</v>
      </c>
      <c r="G356" s="3">
        <f t="shared" si="63"/>
        <v>33379.175140651336</v>
      </c>
      <c r="H356" s="32"/>
      <c r="I356" s="32">
        <f>$G$39-SUM($H$39:$H356)</f>
        <v>200000</v>
      </c>
      <c r="J356" s="68"/>
      <c r="K356" s="2">
        <f t="shared" si="64"/>
        <v>27</v>
      </c>
      <c r="L356" s="2">
        <f t="shared" si="65"/>
        <v>317</v>
      </c>
      <c r="M356" s="3">
        <f>IF(L356&lt;&gt;" ",IF(P355&lt;M355,P355+N356,PMT($O$27,($N$30),-$R355))," ")</f>
        <v>773.3970181413515</v>
      </c>
      <c r="N356" s="3">
        <f t="shared" si="68"/>
        <v>69.54780337916934</v>
      </c>
      <c r="O356" s="3">
        <f t="shared" si="58"/>
        <v>703.8492147621822</v>
      </c>
      <c r="P356" s="3">
        <f t="shared" si="66"/>
        <v>35007.47472832862</v>
      </c>
      <c r="Q356" s="32"/>
      <c r="R356" s="32">
        <f>$G$39-SUM($Q$39:$Q356)</f>
        <v>200000</v>
      </c>
    </row>
    <row r="357" spans="1:18" ht="12.75">
      <c r="A357" s="1">
        <f t="shared" si="51"/>
        <v>50710</v>
      </c>
      <c r="B357" s="2">
        <f t="shared" si="60"/>
        <v>27</v>
      </c>
      <c r="C357" s="2">
        <f t="shared" si="61"/>
        <v>318</v>
      </c>
      <c r="D357" s="3">
        <f t="shared" si="69"/>
        <v>816.4823619977051</v>
      </c>
      <c r="E357" s="3">
        <f t="shared" si="67"/>
        <v>76.49394303065931</v>
      </c>
      <c r="F357" s="3">
        <f t="shared" si="62"/>
        <v>739.9884189670457</v>
      </c>
      <c r="G357" s="3">
        <f t="shared" si="63"/>
        <v>32639.18672168429</v>
      </c>
      <c r="H357" s="32"/>
      <c r="I357" s="32">
        <f>$G$39-SUM($H$39:$H357)</f>
        <v>200000</v>
      </c>
      <c r="J357" s="68"/>
      <c r="K357" s="2">
        <f t="shared" si="64"/>
        <v>27</v>
      </c>
      <c r="L357" s="2">
        <f t="shared" si="65"/>
        <v>318</v>
      </c>
      <c r="M357" s="3">
        <f>IF(L357&lt;&gt;" ",IF(P356&lt;M356,P356+N357,PMT($O$27,($N$30),-$R356))," ")</f>
        <v>773.3970181413515</v>
      </c>
      <c r="N357" s="3">
        <f t="shared" si="68"/>
        <v>68.17705703342</v>
      </c>
      <c r="O357" s="3">
        <f t="shared" si="58"/>
        <v>705.2199611079316</v>
      </c>
      <c r="P357" s="3">
        <f t="shared" si="66"/>
        <v>34302.254767220686</v>
      </c>
      <c r="Q357" s="32"/>
      <c r="R357" s="32">
        <f>$G$39-SUM($Q$39:$Q357)</f>
        <v>200000</v>
      </c>
    </row>
    <row r="358" spans="1:18" ht="12.75">
      <c r="A358" s="1">
        <f t="shared" si="51"/>
        <v>50740</v>
      </c>
      <c r="B358" s="2">
        <f t="shared" si="60"/>
        <v>27</v>
      </c>
      <c r="C358" s="2">
        <f t="shared" si="61"/>
        <v>319</v>
      </c>
      <c r="D358" s="3">
        <f t="shared" si="69"/>
        <v>816.4823619977051</v>
      </c>
      <c r="E358" s="3">
        <f t="shared" si="67"/>
        <v>74.79813623719316</v>
      </c>
      <c r="F358" s="3">
        <f t="shared" si="62"/>
        <v>741.6842257605119</v>
      </c>
      <c r="G358" s="3">
        <f t="shared" si="63"/>
        <v>31897.502495923778</v>
      </c>
      <c r="H358" s="32"/>
      <c r="I358" s="32">
        <f>$G$39-SUM($H$39:$H358)</f>
        <v>200000</v>
      </c>
      <c r="J358" s="68"/>
      <c r="K358" s="2">
        <f t="shared" si="64"/>
        <v>27</v>
      </c>
      <c r="L358" s="2">
        <f t="shared" si="65"/>
        <v>319</v>
      </c>
      <c r="M358" s="3">
        <f>IF(L358&lt;&gt;" ",IF(P357&lt;M357,P357+N358,PMT($O$27,($N$30),-$R357))," ")</f>
        <v>773.3970181413515</v>
      </c>
      <c r="N358" s="3">
        <f t="shared" si="68"/>
        <v>66.8036411591623</v>
      </c>
      <c r="O358" s="3">
        <f t="shared" si="58"/>
        <v>706.5933769821892</v>
      </c>
      <c r="P358" s="3">
        <f t="shared" si="66"/>
        <v>33595.6613902385</v>
      </c>
      <c r="Q358" s="32"/>
      <c r="R358" s="32">
        <f>$G$39-SUM($Q$39:$Q358)</f>
        <v>200000</v>
      </c>
    </row>
    <row r="359" spans="1:18" ht="12.75">
      <c r="A359" s="1">
        <f t="shared" si="51"/>
        <v>50771</v>
      </c>
      <c r="B359" s="2">
        <f t="shared" si="60"/>
        <v>27</v>
      </c>
      <c r="C359" s="2">
        <f t="shared" si="61"/>
        <v>320</v>
      </c>
      <c r="D359" s="3">
        <f t="shared" si="69"/>
        <v>816.4823619977051</v>
      </c>
      <c r="E359" s="3">
        <f t="shared" si="67"/>
        <v>73.09844321982533</v>
      </c>
      <c r="F359" s="3">
        <f t="shared" si="62"/>
        <v>743.3839187778798</v>
      </c>
      <c r="G359" s="3">
        <f t="shared" si="63"/>
        <v>31154.1185771459</v>
      </c>
      <c r="H359" s="32"/>
      <c r="I359" s="32">
        <f>$G$39-SUM($H$39:$H359)</f>
        <v>200000</v>
      </c>
      <c r="J359" s="68"/>
      <c r="K359" s="2">
        <f t="shared" si="64"/>
        <v>27</v>
      </c>
      <c r="L359" s="2">
        <f t="shared" si="65"/>
        <v>320</v>
      </c>
      <c r="M359" s="3">
        <f>IF(L359&lt;&gt;" ",IF(P358&lt;M358,P358+N359,PMT($O$27,($N$30),-$R358))," ")</f>
        <v>773.3970181413515</v>
      </c>
      <c r="N359" s="3">
        <f t="shared" si="68"/>
        <v>65.42755055748948</v>
      </c>
      <c r="O359" s="3">
        <f t="shared" si="58"/>
        <v>707.9694675838621</v>
      </c>
      <c r="P359" s="3">
        <f t="shared" si="66"/>
        <v>32887.69192265464</v>
      </c>
      <c r="Q359" s="32"/>
      <c r="R359" s="32">
        <f>$G$39-SUM($Q$39:$Q359)</f>
        <v>200000</v>
      </c>
    </row>
    <row r="360" spans="1:18" ht="12.75">
      <c r="A360" s="1">
        <f t="shared" si="51"/>
        <v>50802</v>
      </c>
      <c r="B360" s="2">
        <f t="shared" si="60"/>
        <v>27</v>
      </c>
      <c r="C360" s="2">
        <f t="shared" si="61"/>
        <v>321</v>
      </c>
      <c r="D360" s="3">
        <f t="shared" si="69"/>
        <v>816.4823619977051</v>
      </c>
      <c r="E360" s="3">
        <f t="shared" si="67"/>
        <v>71.39485507262602</v>
      </c>
      <c r="F360" s="3">
        <f t="shared" si="62"/>
        <v>745.0875069250791</v>
      </c>
      <c r="G360" s="3">
        <f t="shared" si="63"/>
        <v>30409.03107022082</v>
      </c>
      <c r="H360" s="32"/>
      <c r="I360" s="32">
        <f>$G$39-SUM($H$39:$H360)</f>
        <v>200000</v>
      </c>
      <c r="J360" s="68"/>
      <c r="K360" s="2">
        <f t="shared" si="64"/>
        <v>27</v>
      </c>
      <c r="L360" s="2">
        <f t="shared" si="65"/>
        <v>321</v>
      </c>
      <c r="M360" s="3">
        <f>IF(L360&lt;&gt;" ",IF(P359&lt;M359,P359+N360,PMT($O$27,($N$30),-$R359))," ")</f>
        <v>773.3970181413515</v>
      </c>
      <c r="N360" s="3">
        <f t="shared" si="68"/>
        <v>64.04878001936991</v>
      </c>
      <c r="O360" s="3">
        <f t="shared" si="58"/>
        <v>709.3482381219816</v>
      </c>
      <c r="P360" s="3">
        <f t="shared" si="66"/>
        <v>32178.343684532658</v>
      </c>
      <c r="Q360" s="32"/>
      <c r="R360" s="32">
        <f>$G$39-SUM($Q$39:$Q360)</f>
        <v>200000</v>
      </c>
    </row>
    <row r="361" spans="1:18" ht="12.75">
      <c r="A361" s="1">
        <f aca="true" t="shared" si="70" ref="A361:A399">IF(B361&lt;&gt;" ",DATE(YEAR(A360),MONTH(A360)+1,DAY(A360)),"")</f>
        <v>50830</v>
      </c>
      <c r="B361" s="2">
        <f t="shared" si="60"/>
        <v>27</v>
      </c>
      <c r="C361" s="2">
        <f t="shared" si="61"/>
        <v>322</v>
      </c>
      <c r="D361" s="3">
        <f t="shared" si="69"/>
        <v>816.4823619977051</v>
      </c>
      <c r="E361" s="3">
        <f t="shared" si="67"/>
        <v>69.68736286925605</v>
      </c>
      <c r="F361" s="3">
        <f t="shared" si="62"/>
        <v>746.794999128449</v>
      </c>
      <c r="G361" s="3">
        <f t="shared" si="63"/>
        <v>29662.23607109237</v>
      </c>
      <c r="H361" s="32"/>
      <c r="I361" s="32">
        <f>$G$39-SUM($H$39:$H361)</f>
        <v>200000</v>
      </c>
      <c r="J361" s="68"/>
      <c r="K361" s="2">
        <f t="shared" si="64"/>
        <v>27</v>
      </c>
      <c r="L361" s="2">
        <f t="shared" si="65"/>
        <v>322</v>
      </c>
      <c r="M361" s="3">
        <f>IF(L361&lt;&gt;" ",IF(P360&lt;M360,P360+N361,PMT($O$27,($N$30),-$R360))," ")</f>
        <v>773.3970181413515</v>
      </c>
      <c r="N361" s="3">
        <f t="shared" si="68"/>
        <v>62.667324325627355</v>
      </c>
      <c r="O361" s="3">
        <f aca="true" t="shared" si="71" ref="O361:O424">IF(L361&lt;&gt;" ",M361-N361+Q361," ")</f>
        <v>710.7296938157242</v>
      </c>
      <c r="P361" s="3">
        <f t="shared" si="66"/>
        <v>31467.613990716934</v>
      </c>
      <c r="Q361" s="32"/>
      <c r="R361" s="32">
        <f>$G$39-SUM($Q$39:$Q361)</f>
        <v>200000</v>
      </c>
    </row>
    <row r="362" spans="1:18" ht="12.75">
      <c r="A362" s="1">
        <f t="shared" si="70"/>
        <v>50861</v>
      </c>
      <c r="B362" s="2">
        <f t="shared" si="60"/>
        <v>27</v>
      </c>
      <c r="C362" s="2">
        <f t="shared" si="61"/>
        <v>323</v>
      </c>
      <c r="D362" s="3">
        <f t="shared" si="69"/>
        <v>816.4823619977051</v>
      </c>
      <c r="E362" s="3">
        <f t="shared" si="67"/>
        <v>67.97595766292002</v>
      </c>
      <c r="F362" s="3">
        <f t="shared" si="62"/>
        <v>748.5064043347851</v>
      </c>
      <c r="G362" s="3">
        <f t="shared" si="63"/>
        <v>28913.729666757587</v>
      </c>
      <c r="H362" s="32"/>
      <c r="I362" s="32">
        <f>$G$39-SUM($H$39:$H362)</f>
        <v>200000</v>
      </c>
      <c r="J362" s="68"/>
      <c r="K362" s="2">
        <f t="shared" si="64"/>
        <v>27</v>
      </c>
      <c r="L362" s="2">
        <f t="shared" si="65"/>
        <v>323</v>
      </c>
      <c r="M362" s="3">
        <f>IF(L362&lt;&gt;" ",IF(P361&lt;M361,P361+N362,PMT($O$27,($N$30),-$R361))," ")</f>
        <v>773.3970181413515</v>
      </c>
      <c r="N362" s="3">
        <f t="shared" si="68"/>
        <v>61.28317824692124</v>
      </c>
      <c r="O362" s="3">
        <f t="shared" si="71"/>
        <v>712.1138398944303</v>
      </c>
      <c r="P362" s="3">
        <f t="shared" si="66"/>
        <v>30755.500150822503</v>
      </c>
      <c r="Q362" s="32"/>
      <c r="R362" s="32">
        <f>$G$39-SUM($Q$39:$Q362)</f>
        <v>200000</v>
      </c>
    </row>
    <row r="363" spans="1:18" ht="12.75">
      <c r="A363" s="1">
        <f t="shared" si="70"/>
        <v>50891</v>
      </c>
      <c r="B363" s="2">
        <f t="shared" si="60"/>
        <v>27</v>
      </c>
      <c r="C363" s="2">
        <f t="shared" si="61"/>
        <v>324</v>
      </c>
      <c r="D363" s="3">
        <f t="shared" si="69"/>
        <v>816.4823619977051</v>
      </c>
      <c r="E363" s="3">
        <f t="shared" si="67"/>
        <v>66.26063048631947</v>
      </c>
      <c r="F363" s="3">
        <f t="shared" si="62"/>
        <v>750.2217315113857</v>
      </c>
      <c r="G363" s="3">
        <f t="shared" si="63"/>
        <v>28163.5079352462</v>
      </c>
      <c r="H363" s="32"/>
      <c r="I363" s="32">
        <f>$G$39-SUM($H$39:$H363)</f>
        <v>200000</v>
      </c>
      <c r="J363" s="68"/>
      <c r="K363" s="2">
        <f t="shared" si="64"/>
        <v>27</v>
      </c>
      <c r="L363" s="2">
        <f t="shared" si="65"/>
        <v>324</v>
      </c>
      <c r="M363" s="3">
        <f>IF(L363&lt;&gt;" ",IF(P362&lt;M362,P362+N363,PMT($O$27,($N$30),-$R362))," ")</f>
        <v>773.3970181413515</v>
      </c>
      <c r="N363" s="3">
        <f t="shared" si="68"/>
        <v>59.89633654372683</v>
      </c>
      <c r="O363" s="3">
        <f t="shared" si="71"/>
        <v>713.5006815976246</v>
      </c>
      <c r="P363" s="3">
        <f t="shared" si="66"/>
        <v>30041.99946922488</v>
      </c>
      <c r="Q363" s="32"/>
      <c r="R363" s="32">
        <f>$G$39-SUM($Q$39:$Q363)</f>
        <v>200000</v>
      </c>
    </row>
    <row r="364" spans="1:18" ht="12.75">
      <c r="A364" s="1">
        <f t="shared" si="70"/>
        <v>50922</v>
      </c>
      <c r="B364" s="2">
        <f t="shared" si="60"/>
        <v>28</v>
      </c>
      <c r="C364" s="2">
        <f t="shared" si="61"/>
        <v>325</v>
      </c>
      <c r="D364" s="3">
        <f t="shared" si="69"/>
        <v>816.4823619977051</v>
      </c>
      <c r="E364" s="3">
        <f t="shared" si="67"/>
        <v>64.54137235160587</v>
      </c>
      <c r="F364" s="3">
        <f t="shared" si="62"/>
        <v>751.9409896460992</v>
      </c>
      <c r="G364" s="3">
        <f t="shared" si="63"/>
        <v>27411.5669456001</v>
      </c>
      <c r="H364" s="32"/>
      <c r="I364" s="32">
        <f>$G$39-SUM($H$39:$H364)</f>
        <v>200000</v>
      </c>
      <c r="J364" s="68"/>
      <c r="K364" s="2">
        <f t="shared" si="64"/>
        <v>28</v>
      </c>
      <c r="L364" s="2">
        <f t="shared" si="65"/>
        <v>325</v>
      </c>
      <c r="M364" s="3">
        <f>IF(L364&lt;&gt;" ",IF(P363&lt;M363,P363+N364,PMT($O$27,($N$30),-$R363))," ")</f>
        <v>773.3970181413515</v>
      </c>
      <c r="N364" s="3">
        <f t="shared" si="68"/>
        <v>58.50679396631546</v>
      </c>
      <c r="O364" s="3">
        <f t="shared" si="71"/>
        <v>714.890224175036</v>
      </c>
      <c r="P364" s="3">
        <f t="shared" si="66"/>
        <v>29327.109245049844</v>
      </c>
      <c r="Q364" s="32"/>
      <c r="R364" s="32">
        <f>$G$39-SUM($Q$39:$Q364)</f>
        <v>200000</v>
      </c>
    </row>
    <row r="365" spans="1:18" ht="12.75">
      <c r="A365" s="1">
        <f t="shared" si="70"/>
        <v>50952</v>
      </c>
      <c r="B365" s="2">
        <f t="shared" si="60"/>
        <v>28</v>
      </c>
      <c r="C365" s="2">
        <f t="shared" si="61"/>
        <v>326</v>
      </c>
      <c r="D365" s="3">
        <f t="shared" si="69"/>
        <v>816.4823619977051</v>
      </c>
      <c r="E365" s="3">
        <f t="shared" si="67"/>
        <v>62.81817425033356</v>
      </c>
      <c r="F365" s="3">
        <f t="shared" si="62"/>
        <v>753.6641877473716</v>
      </c>
      <c r="G365" s="3">
        <f t="shared" si="63"/>
        <v>26657.90275785273</v>
      </c>
      <c r="H365" s="32"/>
      <c r="I365" s="32">
        <f>$G$39-SUM($H$39:$H365)</f>
        <v>200000</v>
      </c>
      <c r="J365" s="68"/>
      <c r="K365" s="2">
        <f t="shared" si="64"/>
        <v>28</v>
      </c>
      <c r="L365" s="2">
        <f t="shared" si="65"/>
        <v>326</v>
      </c>
      <c r="M365" s="3">
        <f>IF(L365&lt;&gt;" ",IF(P364&lt;M364,P364+N365,PMT($O$27,($N$30),-$R364))," ")</f>
        <v>773.3970181413515</v>
      </c>
      <c r="N365" s="3">
        <f t="shared" si="68"/>
        <v>57.11454525473458</v>
      </c>
      <c r="O365" s="3">
        <f t="shared" si="71"/>
        <v>716.2824728866169</v>
      </c>
      <c r="P365" s="3">
        <f t="shared" si="66"/>
        <v>28610.826772163226</v>
      </c>
      <c r="Q365" s="32"/>
      <c r="R365" s="32">
        <f>$G$39-SUM($Q$39:$Q365)</f>
        <v>200000</v>
      </c>
    </row>
    <row r="366" spans="1:18" ht="12.75">
      <c r="A366" s="1">
        <f t="shared" si="70"/>
        <v>50983</v>
      </c>
      <c r="B366" s="2">
        <f t="shared" si="60"/>
        <v>28</v>
      </c>
      <c r="C366" s="2">
        <f t="shared" si="61"/>
        <v>327</v>
      </c>
      <c r="D366" s="3">
        <f t="shared" si="69"/>
        <v>816.4823619977051</v>
      </c>
      <c r="E366" s="3">
        <f t="shared" si="67"/>
        <v>61.09102715341251</v>
      </c>
      <c r="F366" s="3">
        <f t="shared" si="62"/>
        <v>755.3913348442926</v>
      </c>
      <c r="G366" s="3">
        <f t="shared" si="63"/>
        <v>25902.51142300844</v>
      </c>
      <c r="H366" s="32"/>
      <c r="I366" s="32">
        <f>$G$39-SUM($H$39:$H366)</f>
        <v>200000</v>
      </c>
      <c r="J366" s="68"/>
      <c r="K366" s="2">
        <f t="shared" si="64"/>
        <v>28</v>
      </c>
      <c r="L366" s="2">
        <f t="shared" si="65"/>
        <v>327</v>
      </c>
      <c r="M366" s="3">
        <f>IF(L366&lt;&gt;" ",IF(P365&lt;M365,P365+N366,PMT($O$27,($N$30),-$R365))," ")</f>
        <v>773.3970181413515</v>
      </c>
      <c r="N366" s="3">
        <f t="shared" si="68"/>
        <v>55.71958513878789</v>
      </c>
      <c r="O366" s="3">
        <f t="shared" si="71"/>
        <v>717.6774330025636</v>
      </c>
      <c r="P366" s="3">
        <f t="shared" si="66"/>
        <v>27893.149339160664</v>
      </c>
      <c r="Q366" s="32"/>
      <c r="R366" s="32">
        <f>$G$39-SUM($Q$39:$Q366)</f>
        <v>200000</v>
      </c>
    </row>
    <row r="367" spans="1:18" ht="12.75">
      <c r="A367" s="1">
        <f t="shared" si="70"/>
        <v>51014</v>
      </c>
      <c r="B367" s="2">
        <f t="shared" si="60"/>
        <v>28</v>
      </c>
      <c r="C367" s="2">
        <f t="shared" si="61"/>
        <v>328</v>
      </c>
      <c r="D367" s="3">
        <f t="shared" si="69"/>
        <v>816.4823619977051</v>
      </c>
      <c r="E367" s="3">
        <f t="shared" si="67"/>
        <v>59.35992201106101</v>
      </c>
      <c r="F367" s="3">
        <f t="shared" si="62"/>
        <v>757.122439986644</v>
      </c>
      <c r="G367" s="3">
        <f t="shared" si="63"/>
        <v>25145.388983021796</v>
      </c>
      <c r="H367" s="32"/>
      <c r="I367" s="32">
        <f>$G$39-SUM($H$39:$H367)</f>
        <v>200000</v>
      </c>
      <c r="J367" s="68"/>
      <c r="K367" s="2">
        <f t="shared" si="64"/>
        <v>28</v>
      </c>
      <c r="L367" s="2">
        <f t="shared" si="65"/>
        <v>328</v>
      </c>
      <c r="M367" s="3">
        <f>IF(L367&lt;&gt;" ",IF(P366&lt;M366,P366+N367,PMT($O$27,($N$30),-$R366))," ")</f>
        <v>773.3970181413515</v>
      </c>
      <c r="N367" s="3">
        <f t="shared" si="68"/>
        <v>54.3219083380154</v>
      </c>
      <c r="O367" s="3">
        <f t="shared" si="71"/>
        <v>719.0751098033361</v>
      </c>
      <c r="P367" s="3">
        <f t="shared" si="66"/>
        <v>27174.074229357328</v>
      </c>
      <c r="Q367" s="32"/>
      <c r="R367" s="32">
        <f>$G$39-SUM($Q$39:$Q367)</f>
        <v>200000</v>
      </c>
    </row>
    <row r="368" spans="1:18" ht="12.75">
      <c r="A368" s="1">
        <f t="shared" si="70"/>
        <v>51044</v>
      </c>
      <c r="B368" s="2">
        <f t="shared" si="60"/>
        <v>28</v>
      </c>
      <c r="C368" s="2">
        <f t="shared" si="61"/>
        <v>329</v>
      </c>
      <c r="D368" s="3">
        <f t="shared" si="69"/>
        <v>816.4823619977051</v>
      </c>
      <c r="E368" s="3">
        <f t="shared" si="67"/>
        <v>57.62484975275828</v>
      </c>
      <c r="F368" s="3">
        <f t="shared" si="62"/>
        <v>758.8575122449467</v>
      </c>
      <c r="G368" s="3">
        <f t="shared" si="63"/>
        <v>24386.53147077685</v>
      </c>
      <c r="H368" s="32"/>
      <c r="I368" s="32">
        <f>$G$39-SUM($H$39:$H368)</f>
        <v>200000</v>
      </c>
      <c r="J368" s="68"/>
      <c r="K368" s="2">
        <f t="shared" si="64"/>
        <v>28</v>
      </c>
      <c r="L368" s="2">
        <f t="shared" si="65"/>
        <v>329</v>
      </c>
      <c r="M368" s="3">
        <f>IF(L368&lt;&gt;" ",IF(P367&lt;M367,P367+N368,PMT($O$27,($N$30),-$R367))," ")</f>
        <v>773.3970181413515</v>
      </c>
      <c r="N368" s="3">
        <f t="shared" si="68"/>
        <v>52.9215095616734</v>
      </c>
      <c r="O368" s="3">
        <f t="shared" si="71"/>
        <v>720.4755085796781</v>
      </c>
      <c r="P368" s="3">
        <f t="shared" si="66"/>
        <v>26453.59872077765</v>
      </c>
      <c r="Q368" s="32"/>
      <c r="R368" s="32">
        <f>$G$39-SUM($Q$39:$Q368)</f>
        <v>200000</v>
      </c>
    </row>
    <row r="369" spans="1:18" ht="12.75">
      <c r="A369" s="1">
        <f t="shared" si="70"/>
        <v>51075</v>
      </c>
      <c r="B369" s="2">
        <f t="shared" si="60"/>
        <v>28</v>
      </c>
      <c r="C369" s="2">
        <f t="shared" si="61"/>
        <v>330</v>
      </c>
      <c r="D369" s="3">
        <f t="shared" si="69"/>
        <v>816.4823619977051</v>
      </c>
      <c r="E369" s="3">
        <f t="shared" si="67"/>
        <v>55.88580128719695</v>
      </c>
      <c r="F369" s="3">
        <f t="shared" si="62"/>
        <v>760.5965607105081</v>
      </c>
      <c r="G369" s="3">
        <f t="shared" si="63"/>
        <v>23625.93491006634</v>
      </c>
      <c r="H369" s="32"/>
      <c r="I369" s="32">
        <f>$G$39-SUM($H$39:$H369)</f>
        <v>200000</v>
      </c>
      <c r="J369" s="68"/>
      <c r="K369" s="2">
        <f t="shared" si="64"/>
        <v>28</v>
      </c>
      <c r="L369" s="2">
        <f t="shared" si="65"/>
        <v>330</v>
      </c>
      <c r="M369" s="3">
        <f>IF(L369&lt;&gt;" ",IF(P368&lt;M368,P368+N369,PMT($O$27,($N$30),-$R368))," ")</f>
        <v>773.3970181413515</v>
      </c>
      <c r="N369" s="3">
        <f t="shared" si="68"/>
        <v>51.51838350871448</v>
      </c>
      <c r="O369" s="3">
        <f t="shared" si="71"/>
        <v>721.878634632637</v>
      </c>
      <c r="P369" s="3">
        <f t="shared" si="66"/>
        <v>25731.72008614501</v>
      </c>
      <c r="Q369" s="32"/>
      <c r="R369" s="32">
        <f>$G$39-SUM($Q$39:$Q369)</f>
        <v>200000</v>
      </c>
    </row>
    <row r="370" spans="1:18" ht="12.75">
      <c r="A370" s="1">
        <f t="shared" si="70"/>
        <v>51105</v>
      </c>
      <c r="B370" s="2">
        <f aca="true" t="shared" si="72" ref="B370:B433">IF(C370&lt;&gt;" ",INT(C369/12)+1," ")</f>
        <v>28</v>
      </c>
      <c r="C370" s="2">
        <f aca="true" t="shared" si="73" ref="C370:C433">IF(CODE(C369)=32," ",IF(AND(C369+1&lt;=$E$30,G369&gt;0),+C369+1," "))</f>
        <v>331</v>
      </c>
      <c r="D370" s="3">
        <f t="shared" si="69"/>
        <v>816.4823619977051</v>
      </c>
      <c r="E370" s="3">
        <f t="shared" si="67"/>
        <v>54.14276750223536</v>
      </c>
      <c r="F370" s="3">
        <f aca="true" t="shared" si="74" ref="F370:F433">IF(C370&lt;&gt;" ",D370-E370+H370," ")</f>
        <v>762.3395944954698</v>
      </c>
      <c r="G370" s="3">
        <f aca="true" t="shared" si="75" ref="G370:G433">IF(C370&lt;&gt;" ",G369-F370," ")</f>
        <v>22863.59531557087</v>
      </c>
      <c r="H370" s="32"/>
      <c r="I370" s="32">
        <f>$G$39-SUM($H$39:$H370)</f>
        <v>200000</v>
      </c>
      <c r="J370" s="68"/>
      <c r="K370" s="2">
        <f aca="true" t="shared" si="76" ref="K370:K433">IF(L370&lt;&gt;" ",INT(L369/12)+1," ")</f>
        <v>28</v>
      </c>
      <c r="L370" s="2">
        <f aca="true" t="shared" si="77" ref="L370:L433">IF(CODE(L369)=32," ",IF(AND(L369+1&lt;=$E$30,P369&gt;0),+L369+1," "))</f>
        <v>331</v>
      </c>
      <c r="M370" s="3">
        <f>IF(L370&lt;&gt;" ",IF(P369&lt;M369,P369+N370,PMT($O$27,($N$30),-$R369))," ")</f>
        <v>773.3970181413515</v>
      </c>
      <c r="N370" s="3">
        <f t="shared" si="68"/>
        <v>50.11252486776741</v>
      </c>
      <c r="O370" s="3">
        <f t="shared" si="71"/>
        <v>723.2844932735841</v>
      </c>
      <c r="P370" s="3">
        <f aca="true" t="shared" si="78" ref="P370:P433">IF(L370&lt;&gt;" ",P369-O370," ")</f>
        <v>25008.43559287143</v>
      </c>
      <c r="Q370" s="32"/>
      <c r="R370" s="32">
        <f>$G$39-SUM($Q$39:$Q370)</f>
        <v>200000</v>
      </c>
    </row>
    <row r="371" spans="1:18" ht="12.75">
      <c r="A371" s="1">
        <f t="shared" si="70"/>
        <v>51136</v>
      </c>
      <c r="B371" s="2">
        <f t="shared" si="72"/>
        <v>28</v>
      </c>
      <c r="C371" s="2">
        <f t="shared" si="73"/>
        <v>332</v>
      </c>
      <c r="D371" s="3">
        <f t="shared" si="69"/>
        <v>816.4823619977051</v>
      </c>
      <c r="E371" s="3">
        <f t="shared" si="67"/>
        <v>52.39573926484991</v>
      </c>
      <c r="F371" s="3">
        <f t="shared" si="74"/>
        <v>764.0866227328552</v>
      </c>
      <c r="G371" s="3">
        <f t="shared" si="75"/>
        <v>22099.508692838015</v>
      </c>
      <c r="H371" s="32"/>
      <c r="I371" s="32">
        <f>$G$39-SUM($H$39:$H371)</f>
        <v>200000</v>
      </c>
      <c r="J371" s="68"/>
      <c r="K371" s="2">
        <f t="shared" si="76"/>
        <v>28</v>
      </c>
      <c r="L371" s="2">
        <f t="shared" si="77"/>
        <v>332</v>
      </c>
      <c r="M371" s="3">
        <f>IF(L371&lt;&gt;" ",IF(P370&lt;M370,P370+N371,PMT($O$27,($N$30),-$R370))," ")</f>
        <v>773.3970181413515</v>
      </c>
      <c r="N371" s="3">
        <f t="shared" si="68"/>
        <v>48.70392831711711</v>
      </c>
      <c r="O371" s="3">
        <f t="shared" si="71"/>
        <v>724.6930898242344</v>
      </c>
      <c r="P371" s="3">
        <f t="shared" si="78"/>
        <v>24283.742503047193</v>
      </c>
      <c r="Q371" s="32"/>
      <c r="R371" s="32">
        <f>$G$39-SUM($Q$39:$Q371)</f>
        <v>200000</v>
      </c>
    </row>
    <row r="372" spans="1:18" ht="12.75">
      <c r="A372" s="1">
        <f t="shared" si="70"/>
        <v>51167</v>
      </c>
      <c r="B372" s="2">
        <f t="shared" si="72"/>
        <v>28</v>
      </c>
      <c r="C372" s="2">
        <f t="shared" si="73"/>
        <v>333</v>
      </c>
      <c r="D372" s="3">
        <f t="shared" si="69"/>
        <v>816.4823619977051</v>
      </c>
      <c r="E372" s="3">
        <f t="shared" si="67"/>
        <v>50.64470742108712</v>
      </c>
      <c r="F372" s="3">
        <f t="shared" si="74"/>
        <v>765.837654576618</v>
      </c>
      <c r="G372" s="3">
        <f t="shared" si="75"/>
        <v>21333.671038261396</v>
      </c>
      <c r="H372" s="32"/>
      <c r="I372" s="32">
        <f>$G$39-SUM($H$39:$H372)</f>
        <v>200000</v>
      </c>
      <c r="J372" s="68"/>
      <c r="K372" s="2">
        <f t="shared" si="76"/>
        <v>28</v>
      </c>
      <c r="L372" s="2">
        <f t="shared" si="77"/>
        <v>333</v>
      </c>
      <c r="M372" s="3">
        <f>IF(L372&lt;&gt;" ",IF(P371&lt;M371,P371+N372,PMT($O$27,($N$30),-$R371))," ")</f>
        <v>773.3970181413515</v>
      </c>
      <c r="N372" s="3">
        <f t="shared" si="68"/>
        <v>47.29258852468441</v>
      </c>
      <c r="O372" s="3">
        <f t="shared" si="71"/>
        <v>726.1044296166671</v>
      </c>
      <c r="P372" s="3">
        <f t="shared" si="78"/>
        <v>23557.638073430528</v>
      </c>
      <c r="Q372" s="32"/>
      <c r="R372" s="32">
        <f>$G$39-SUM($Q$39:$Q372)</f>
        <v>200000</v>
      </c>
    </row>
    <row r="373" spans="1:18" ht="12.75">
      <c r="A373" s="1">
        <f t="shared" si="70"/>
        <v>51196</v>
      </c>
      <c r="B373" s="2">
        <f t="shared" si="72"/>
        <v>28</v>
      </c>
      <c r="C373" s="2">
        <f t="shared" si="73"/>
        <v>334</v>
      </c>
      <c r="D373" s="3">
        <f t="shared" si="69"/>
        <v>816.4823619977051</v>
      </c>
      <c r="E373" s="3">
        <f aca="true" t="shared" si="79" ref="E373:E436">IF(C373&lt;&gt;" ",G372*$F$27," ")</f>
        <v>48.8896627960157</v>
      </c>
      <c r="F373" s="3">
        <f t="shared" si="74"/>
        <v>767.5926992016894</v>
      </c>
      <c r="G373" s="3">
        <f t="shared" si="75"/>
        <v>20566.078339059706</v>
      </c>
      <c r="H373" s="32"/>
      <c r="I373" s="32">
        <f>$G$39-SUM($H$39:$H373)</f>
        <v>200000</v>
      </c>
      <c r="J373" s="68"/>
      <c r="K373" s="2">
        <f t="shared" si="76"/>
        <v>28</v>
      </c>
      <c r="L373" s="2">
        <f t="shared" si="77"/>
        <v>334</v>
      </c>
      <c r="M373" s="3">
        <f>IF(L373&lt;&gt;" ",IF(P372&lt;M372,P372+N373,PMT($O$27,($N$30),-$R372))," ")</f>
        <v>773.3970181413515</v>
      </c>
      <c r="N373" s="3">
        <f aca="true" t="shared" si="80" ref="N373:N436">IF(L373&lt;&gt;" ",P372*$O$27," ")</f>
        <v>45.878500148005955</v>
      </c>
      <c r="O373" s="3">
        <f t="shared" si="71"/>
        <v>727.5185179933455</v>
      </c>
      <c r="P373" s="3">
        <f t="shared" si="78"/>
        <v>22830.11955543718</v>
      </c>
      <c r="Q373" s="32"/>
      <c r="R373" s="32">
        <f>$G$39-SUM($Q$39:$Q373)</f>
        <v>200000</v>
      </c>
    </row>
    <row r="374" spans="1:18" ht="12.75">
      <c r="A374" s="1">
        <f t="shared" si="70"/>
        <v>51227</v>
      </c>
      <c r="B374" s="2">
        <f t="shared" si="72"/>
        <v>28</v>
      </c>
      <c r="C374" s="2">
        <f t="shared" si="73"/>
        <v>335</v>
      </c>
      <c r="D374" s="3">
        <f t="shared" si="69"/>
        <v>816.4823619977051</v>
      </c>
      <c r="E374" s="3">
        <f t="shared" si="79"/>
        <v>47.13059619367849</v>
      </c>
      <c r="F374" s="3">
        <f t="shared" si="74"/>
        <v>769.3517658040266</v>
      </c>
      <c r="G374" s="3">
        <f t="shared" si="75"/>
        <v>19796.72657325568</v>
      </c>
      <c r="H374" s="32"/>
      <c r="I374" s="32">
        <f>$G$39-SUM($H$39:$H374)</f>
        <v>200000</v>
      </c>
      <c r="J374" s="68"/>
      <c r="K374" s="2">
        <f t="shared" si="76"/>
        <v>28</v>
      </c>
      <c r="L374" s="2">
        <f t="shared" si="77"/>
        <v>335</v>
      </c>
      <c r="M374" s="3">
        <f>IF(L374&lt;&gt;" ",IF(P373&lt;M373,P373+N374,PMT($O$27,($N$30),-$R373))," ")</f>
        <v>773.3970181413515</v>
      </c>
      <c r="N374" s="3">
        <f t="shared" si="80"/>
        <v>44.461657834213916</v>
      </c>
      <c r="O374" s="3">
        <f t="shared" si="71"/>
        <v>728.9353603071376</v>
      </c>
      <c r="P374" s="3">
        <f t="shared" si="78"/>
        <v>22101.184195130045</v>
      </c>
      <c r="Q374" s="32"/>
      <c r="R374" s="32">
        <f>$G$39-SUM($Q$39:$Q374)</f>
        <v>200000</v>
      </c>
    </row>
    <row r="375" spans="1:18" ht="12.75">
      <c r="A375" s="1">
        <f t="shared" si="70"/>
        <v>51257</v>
      </c>
      <c r="B375" s="2">
        <f t="shared" si="72"/>
        <v>28</v>
      </c>
      <c r="C375" s="2">
        <f t="shared" si="73"/>
        <v>336</v>
      </c>
      <c r="D375" s="3">
        <f t="shared" si="69"/>
        <v>816.4823619977051</v>
      </c>
      <c r="E375" s="3">
        <f t="shared" si="79"/>
        <v>45.367498397044265</v>
      </c>
      <c r="F375" s="3">
        <f t="shared" si="74"/>
        <v>771.1148636006608</v>
      </c>
      <c r="G375" s="3">
        <f t="shared" si="75"/>
        <v>19025.61170965502</v>
      </c>
      <c r="H375" s="32"/>
      <c r="I375" s="32">
        <f>$G$39-SUM($H$39:$H375)</f>
        <v>200000</v>
      </c>
      <c r="J375" s="68"/>
      <c r="K375" s="2">
        <f t="shared" si="76"/>
        <v>28</v>
      </c>
      <c r="L375" s="2">
        <f t="shared" si="77"/>
        <v>336</v>
      </c>
      <c r="M375" s="3">
        <f>IF(L375&lt;&gt;" ",IF(P374&lt;M374,P374+N375,PMT($O$27,($N$30),-$R374))," ")</f>
        <v>773.3970181413515</v>
      </c>
      <c r="N375" s="3">
        <f t="shared" si="80"/>
        <v>43.042056220015766</v>
      </c>
      <c r="O375" s="3">
        <f t="shared" si="71"/>
        <v>730.3549619213358</v>
      </c>
      <c r="P375" s="3">
        <f t="shared" si="78"/>
        <v>21370.829233208708</v>
      </c>
      <c r="Q375" s="32"/>
      <c r="R375" s="32">
        <f>$G$39-SUM($Q$39:$Q375)</f>
        <v>200000</v>
      </c>
    </row>
    <row r="376" spans="1:18" ht="12.75">
      <c r="A376" s="1">
        <f t="shared" si="70"/>
        <v>51288</v>
      </c>
      <c r="B376" s="2">
        <f t="shared" si="72"/>
        <v>29</v>
      </c>
      <c r="C376" s="2">
        <f t="shared" si="73"/>
        <v>337</v>
      </c>
      <c r="D376" s="3">
        <f aca="true" t="shared" si="81" ref="D376:D439">IF(C376&lt;&gt;" ",IF(G375&lt;D375,G375+E376,PMT($F$27,($E$30),-I375))," ")</f>
        <v>816.4823619977051</v>
      </c>
      <c r="E376" s="3">
        <f t="shared" si="79"/>
        <v>43.600360167959415</v>
      </c>
      <c r="F376" s="3">
        <f t="shared" si="74"/>
        <v>772.8820018297457</v>
      </c>
      <c r="G376" s="3">
        <f t="shared" si="75"/>
        <v>18252.729707825274</v>
      </c>
      <c r="H376" s="32"/>
      <c r="I376" s="32">
        <f>$G$39-SUM($H$39:$H376)</f>
        <v>200000</v>
      </c>
      <c r="J376" s="68"/>
      <c r="K376" s="2">
        <f t="shared" si="76"/>
        <v>29</v>
      </c>
      <c r="L376" s="2">
        <f t="shared" si="77"/>
        <v>337</v>
      </c>
      <c r="M376" s="3">
        <f>IF(L376&lt;&gt;" ",IF(P375&lt;M375,P375+N376,PMT($O$27,($N$30),-$R375))," ")</f>
        <v>773.3970181413515</v>
      </c>
      <c r="N376" s="3">
        <f t="shared" si="80"/>
        <v>41.61968993167396</v>
      </c>
      <c r="O376" s="3">
        <f t="shared" si="71"/>
        <v>731.7773282096775</v>
      </c>
      <c r="P376" s="3">
        <f t="shared" si="78"/>
        <v>20639.05190499903</v>
      </c>
      <c r="Q376" s="32"/>
      <c r="R376" s="32">
        <f>$G$39-SUM($Q$39:$Q376)</f>
        <v>200000</v>
      </c>
    </row>
    <row r="377" spans="1:18" ht="12.75">
      <c r="A377" s="1">
        <f t="shared" si="70"/>
        <v>51318</v>
      </c>
      <c r="B377" s="2">
        <f t="shared" si="72"/>
        <v>29</v>
      </c>
      <c r="C377" s="2">
        <f t="shared" si="73"/>
        <v>338</v>
      </c>
      <c r="D377" s="3">
        <f t="shared" si="81"/>
        <v>816.4823619977051</v>
      </c>
      <c r="E377" s="3">
        <f t="shared" si="79"/>
        <v>41.829172247099585</v>
      </c>
      <c r="F377" s="3">
        <f t="shared" si="74"/>
        <v>774.6531897506055</v>
      </c>
      <c r="G377" s="3">
        <f t="shared" si="75"/>
        <v>17478.076518074668</v>
      </c>
      <c r="H377" s="32"/>
      <c r="I377" s="32">
        <f>$G$39-SUM($H$39:$H377)</f>
        <v>200000</v>
      </c>
      <c r="J377" s="68"/>
      <c r="K377" s="2">
        <f t="shared" si="76"/>
        <v>29</v>
      </c>
      <c r="L377" s="2">
        <f t="shared" si="77"/>
        <v>338</v>
      </c>
      <c r="M377" s="3">
        <f>IF(L377&lt;&gt;" ",IF(P376&lt;M376,P376+N377,PMT($O$27,($N$30),-$R376))," ")</f>
        <v>773.3970181413515</v>
      </c>
      <c r="N377" s="3">
        <f t="shared" si="80"/>
        <v>40.19455358498561</v>
      </c>
      <c r="O377" s="3">
        <f t="shared" si="71"/>
        <v>733.2024645563658</v>
      </c>
      <c r="P377" s="3">
        <f t="shared" si="78"/>
        <v>19905.849440442664</v>
      </c>
      <c r="Q377" s="32"/>
      <c r="R377" s="32">
        <f>$G$39-SUM($Q$39:$Q377)</f>
        <v>200000</v>
      </c>
    </row>
    <row r="378" spans="1:18" ht="12.75">
      <c r="A378" s="1">
        <f t="shared" si="70"/>
        <v>51349</v>
      </c>
      <c r="B378" s="2">
        <f t="shared" si="72"/>
        <v>29</v>
      </c>
      <c r="C378" s="2">
        <f t="shared" si="73"/>
        <v>339</v>
      </c>
      <c r="D378" s="3">
        <f t="shared" si="81"/>
        <v>816.4823619977051</v>
      </c>
      <c r="E378" s="3">
        <f t="shared" si="79"/>
        <v>40.053925353921116</v>
      </c>
      <c r="F378" s="3">
        <f t="shared" si="74"/>
        <v>776.4284366437839</v>
      </c>
      <c r="G378" s="3">
        <f t="shared" si="75"/>
        <v>16701.648081430885</v>
      </c>
      <c r="H378" s="32"/>
      <c r="I378" s="32">
        <f>$G$39-SUM($H$39:$H378)</f>
        <v>200000</v>
      </c>
      <c r="J378" s="68"/>
      <c r="K378" s="2">
        <f t="shared" si="76"/>
        <v>29</v>
      </c>
      <c r="L378" s="2">
        <f t="shared" si="77"/>
        <v>339</v>
      </c>
      <c r="M378" s="3">
        <f>IF(L378&lt;&gt;" ",IF(P377&lt;M377,P377+N378,PMT($O$27,($N$30),-$R377))," ")</f>
        <v>773.3970181413515</v>
      </c>
      <c r="N378" s="3">
        <f t="shared" si="80"/>
        <v>38.766641785262095</v>
      </c>
      <c r="O378" s="3">
        <f t="shared" si="71"/>
        <v>734.6303763560894</v>
      </c>
      <c r="P378" s="3">
        <f t="shared" si="78"/>
        <v>19171.219064086574</v>
      </c>
      <c r="Q378" s="32"/>
      <c r="R378" s="32">
        <f>$G$39-SUM($Q$39:$Q378)</f>
        <v>200000</v>
      </c>
    </row>
    <row r="379" spans="1:18" ht="12.75">
      <c r="A379" s="1">
        <f t="shared" si="70"/>
        <v>51380</v>
      </c>
      <c r="B379" s="2">
        <f t="shared" si="72"/>
        <v>29</v>
      </c>
      <c r="C379" s="2">
        <f t="shared" si="73"/>
        <v>340</v>
      </c>
      <c r="D379" s="3">
        <f t="shared" si="81"/>
        <v>816.4823619977051</v>
      </c>
      <c r="E379" s="3">
        <f t="shared" si="79"/>
        <v>38.27461018661244</v>
      </c>
      <c r="F379" s="3">
        <f t="shared" si="74"/>
        <v>778.2077518110926</v>
      </c>
      <c r="G379" s="3">
        <f t="shared" si="75"/>
        <v>15923.440329619792</v>
      </c>
      <c r="H379" s="32"/>
      <c r="I379" s="32">
        <f>$G$39-SUM($H$39:$H379)</f>
        <v>200000</v>
      </c>
      <c r="J379" s="68"/>
      <c r="K379" s="2">
        <f t="shared" si="76"/>
        <v>29</v>
      </c>
      <c r="L379" s="2">
        <f t="shared" si="77"/>
        <v>340</v>
      </c>
      <c r="M379" s="3">
        <f>IF(L379&lt;&gt;" ",IF(P378&lt;M378,P378+N379,PMT($O$27,($N$30),-$R378))," ")</f>
        <v>773.3970181413515</v>
      </c>
      <c r="N379" s="3">
        <f t="shared" si="80"/>
        <v>37.33594912730861</v>
      </c>
      <c r="O379" s="3">
        <f t="shared" si="71"/>
        <v>736.0610690140429</v>
      </c>
      <c r="P379" s="3">
        <f t="shared" si="78"/>
        <v>18435.15799507253</v>
      </c>
      <c r="Q379" s="32"/>
      <c r="R379" s="32">
        <f>$G$39-SUM($Q$39:$Q379)</f>
        <v>200000</v>
      </c>
    </row>
    <row r="380" spans="1:18" ht="12.75">
      <c r="A380" s="1">
        <f t="shared" si="70"/>
        <v>51410</v>
      </c>
      <c r="B380" s="2">
        <f t="shared" si="72"/>
        <v>29</v>
      </c>
      <c r="C380" s="2">
        <f t="shared" si="73"/>
        <v>341</v>
      </c>
      <c r="D380" s="3">
        <f t="shared" si="81"/>
        <v>816.4823619977051</v>
      </c>
      <c r="E380" s="3">
        <f t="shared" si="79"/>
        <v>36.49121742204536</v>
      </c>
      <c r="F380" s="3">
        <f t="shared" si="74"/>
        <v>779.9911445756597</v>
      </c>
      <c r="G380" s="3">
        <f t="shared" si="75"/>
        <v>15143.449185044134</v>
      </c>
      <c r="H380" s="32"/>
      <c r="I380" s="32">
        <f>$G$39-SUM($H$39:$H380)</f>
        <v>200000</v>
      </c>
      <c r="J380" s="68"/>
      <c r="K380" s="2">
        <f t="shared" si="76"/>
        <v>29</v>
      </c>
      <c r="L380" s="2">
        <f t="shared" si="77"/>
        <v>341</v>
      </c>
      <c r="M380" s="3">
        <f>IF(L380&lt;&gt;" ",IF(P379&lt;M379,P379+N380,PMT($O$27,($N$30),-$R379))," ")</f>
        <v>773.3970181413515</v>
      </c>
      <c r="N380" s="3">
        <f t="shared" si="80"/>
        <v>35.90247019540376</v>
      </c>
      <c r="O380" s="3">
        <f t="shared" si="71"/>
        <v>737.4945479459477</v>
      </c>
      <c r="P380" s="3">
        <f t="shared" si="78"/>
        <v>17697.663447126582</v>
      </c>
      <c r="Q380" s="32"/>
      <c r="R380" s="32">
        <f>$G$39-SUM($Q$39:$Q380)</f>
        <v>200000</v>
      </c>
    </row>
    <row r="381" spans="1:18" ht="12.75">
      <c r="A381" s="1">
        <f t="shared" si="70"/>
        <v>51441</v>
      </c>
      <c r="B381" s="2">
        <f t="shared" si="72"/>
        <v>29</v>
      </c>
      <c r="C381" s="2">
        <f t="shared" si="73"/>
        <v>342</v>
      </c>
      <c r="D381" s="3">
        <f t="shared" si="81"/>
        <v>816.4823619977051</v>
      </c>
      <c r="E381" s="3">
        <f t="shared" si="79"/>
        <v>34.70373771572614</v>
      </c>
      <c r="F381" s="3">
        <f t="shared" si="74"/>
        <v>781.778624281979</v>
      </c>
      <c r="G381" s="3">
        <f t="shared" si="75"/>
        <v>14361.670560762155</v>
      </c>
      <c r="H381" s="32"/>
      <c r="I381" s="32">
        <f>$G$39-SUM($H$39:$H381)</f>
        <v>200000</v>
      </c>
      <c r="J381" s="68"/>
      <c r="K381" s="2">
        <f t="shared" si="76"/>
        <v>29</v>
      </c>
      <c r="L381" s="2">
        <f t="shared" si="77"/>
        <v>342</v>
      </c>
      <c r="M381" s="3">
        <f>IF(L381&lt;&gt;" ",IF(P380&lt;M380,P380+N381,PMT($O$27,($N$30),-$R380))," ")</f>
        <v>773.3970181413515</v>
      </c>
      <c r="N381" s="3">
        <f t="shared" si="80"/>
        <v>34.46619956327903</v>
      </c>
      <c r="O381" s="3">
        <f t="shared" si="71"/>
        <v>738.9308185780725</v>
      </c>
      <c r="P381" s="3">
        <f t="shared" si="78"/>
        <v>16958.73262854851</v>
      </c>
      <c r="Q381" s="32"/>
      <c r="R381" s="32">
        <f>$G$39-SUM($Q$39:$Q381)</f>
        <v>200000</v>
      </c>
    </row>
    <row r="382" spans="1:18" ht="12.75">
      <c r="A382" s="1">
        <f t="shared" si="70"/>
        <v>51471</v>
      </c>
      <c r="B382" s="2">
        <f t="shared" si="72"/>
        <v>29</v>
      </c>
      <c r="C382" s="2">
        <f t="shared" si="73"/>
        <v>343</v>
      </c>
      <c r="D382" s="3">
        <f t="shared" si="81"/>
        <v>816.4823619977051</v>
      </c>
      <c r="E382" s="3">
        <f t="shared" si="79"/>
        <v>32.912161701746605</v>
      </c>
      <c r="F382" s="3">
        <f t="shared" si="74"/>
        <v>783.5702002959584</v>
      </c>
      <c r="G382" s="3">
        <f t="shared" si="75"/>
        <v>13578.100360466196</v>
      </c>
      <c r="H382" s="32"/>
      <c r="I382" s="32">
        <f>$G$39-SUM($H$39:$H382)</f>
        <v>200000</v>
      </c>
      <c r="J382" s="68"/>
      <c r="K382" s="2">
        <f t="shared" si="76"/>
        <v>29</v>
      </c>
      <c r="L382" s="2">
        <f t="shared" si="77"/>
        <v>343</v>
      </c>
      <c r="M382" s="3">
        <f>IF(L382&lt;&gt;" ",IF(P381&lt;M381,P381+N382,PMT($O$27,($N$30),-$R381))," ")</f>
        <v>773.3970181413515</v>
      </c>
      <c r="N382" s="3">
        <f t="shared" si="80"/>
        <v>33.02713179409823</v>
      </c>
      <c r="O382" s="3">
        <f t="shared" si="71"/>
        <v>740.3698863472533</v>
      </c>
      <c r="P382" s="3">
        <f t="shared" si="78"/>
        <v>16218.362742201258</v>
      </c>
      <c r="Q382" s="32"/>
      <c r="R382" s="32">
        <f>$G$39-SUM($Q$39:$Q382)</f>
        <v>200000</v>
      </c>
    </row>
    <row r="383" spans="1:18" ht="12.75">
      <c r="A383" s="1">
        <f t="shared" si="70"/>
        <v>51502</v>
      </c>
      <c r="B383" s="2">
        <f t="shared" si="72"/>
        <v>29</v>
      </c>
      <c r="C383" s="2">
        <f t="shared" si="73"/>
        <v>344</v>
      </c>
      <c r="D383" s="3">
        <f t="shared" si="81"/>
        <v>816.4823619977051</v>
      </c>
      <c r="E383" s="3">
        <f t="shared" si="79"/>
        <v>31.116479992735034</v>
      </c>
      <c r="F383" s="3">
        <f t="shared" si="74"/>
        <v>785.3658820049701</v>
      </c>
      <c r="G383" s="3">
        <f t="shared" si="75"/>
        <v>12792.734478461227</v>
      </c>
      <c r="H383" s="32"/>
      <c r="I383" s="32">
        <f>$G$39-SUM($H$39:$H383)</f>
        <v>200000</v>
      </c>
      <c r="J383" s="68"/>
      <c r="K383" s="2">
        <f t="shared" si="76"/>
        <v>29</v>
      </c>
      <c r="L383" s="2">
        <f t="shared" si="77"/>
        <v>344</v>
      </c>
      <c r="M383" s="3">
        <f>IF(L383&lt;&gt;" ",IF(P382&lt;M382,P382+N383,PMT($O$27,($N$30),-$R382))," ")</f>
        <v>773.3970181413515</v>
      </c>
      <c r="N383" s="3">
        <f t="shared" si="80"/>
        <v>31.585261440436952</v>
      </c>
      <c r="O383" s="3">
        <f t="shared" si="71"/>
        <v>741.8117567009145</v>
      </c>
      <c r="P383" s="3">
        <f t="shared" si="78"/>
        <v>15476.550985500344</v>
      </c>
      <c r="Q383" s="32"/>
      <c r="R383" s="32">
        <f>$G$39-SUM($Q$39:$Q383)</f>
        <v>200000</v>
      </c>
    </row>
    <row r="384" spans="1:18" ht="12.75">
      <c r="A384" s="1">
        <f t="shared" si="70"/>
        <v>51533</v>
      </c>
      <c r="B384" s="2">
        <f t="shared" si="72"/>
        <v>29</v>
      </c>
      <c r="C384" s="2">
        <f t="shared" si="73"/>
        <v>345</v>
      </c>
      <c r="D384" s="3">
        <f t="shared" si="81"/>
        <v>816.4823619977051</v>
      </c>
      <c r="E384" s="3">
        <f t="shared" si="79"/>
        <v>29.31668317980698</v>
      </c>
      <c r="F384" s="3">
        <f t="shared" si="74"/>
        <v>787.1656788178981</v>
      </c>
      <c r="G384" s="3">
        <f t="shared" si="75"/>
        <v>12005.568799643328</v>
      </c>
      <c r="H384" s="32"/>
      <c r="I384" s="32">
        <f>$G$39-SUM($H$39:$H384)</f>
        <v>200000</v>
      </c>
      <c r="J384" s="68"/>
      <c r="K384" s="2">
        <f t="shared" si="76"/>
        <v>29</v>
      </c>
      <c r="L384" s="2">
        <f t="shared" si="77"/>
        <v>345</v>
      </c>
      <c r="M384" s="3">
        <f>IF(L384&lt;&gt;" ",IF(P383&lt;M383,P383+N384,PMT($O$27,($N$30),-$R383))," ")</f>
        <v>773.3970181413515</v>
      </c>
      <c r="N384" s="3">
        <f t="shared" si="80"/>
        <v>30.140583044261923</v>
      </c>
      <c r="O384" s="3">
        <f t="shared" si="71"/>
        <v>743.2564350970896</v>
      </c>
      <c r="P384" s="3">
        <f t="shared" si="78"/>
        <v>14733.294550403254</v>
      </c>
      <c r="Q384" s="32"/>
      <c r="R384" s="32">
        <f>$G$39-SUM($Q$39:$Q384)</f>
        <v>200000</v>
      </c>
    </row>
    <row r="385" spans="1:18" ht="12.75">
      <c r="A385" s="1">
        <f t="shared" si="70"/>
        <v>51561</v>
      </c>
      <c r="B385" s="2">
        <f t="shared" si="72"/>
        <v>29</v>
      </c>
      <c r="C385" s="2">
        <f t="shared" si="73"/>
        <v>346</v>
      </c>
      <c r="D385" s="3">
        <f t="shared" si="81"/>
        <v>816.4823619977051</v>
      </c>
      <c r="E385" s="3">
        <f t="shared" si="79"/>
        <v>27.51276183251596</v>
      </c>
      <c r="F385" s="3">
        <f t="shared" si="74"/>
        <v>788.9696001651891</v>
      </c>
      <c r="G385" s="3">
        <f t="shared" si="75"/>
        <v>11216.59919947814</v>
      </c>
      <c r="H385" s="32"/>
      <c r="I385" s="32">
        <f>$G$39-SUM($H$39:$H385)</f>
        <v>200000</v>
      </c>
      <c r="J385" s="68"/>
      <c r="K385" s="2">
        <f t="shared" si="76"/>
        <v>29</v>
      </c>
      <c r="L385" s="2">
        <f t="shared" si="77"/>
        <v>346</v>
      </c>
      <c r="M385" s="3">
        <f>IF(L385&lt;&gt;" ",IF(P384&lt;M384,P384+N385,PMT($O$27,($N$30),-$R384))," ")</f>
        <v>773.3970181413515</v>
      </c>
      <c r="N385" s="3">
        <f t="shared" si="80"/>
        <v>28.69309113691034</v>
      </c>
      <c r="O385" s="3">
        <f t="shared" si="71"/>
        <v>744.7039270044412</v>
      </c>
      <c r="P385" s="3">
        <f t="shared" si="78"/>
        <v>13988.590623398813</v>
      </c>
      <c r="Q385" s="32"/>
      <c r="R385" s="32">
        <f>$G$39-SUM($Q$39:$Q385)</f>
        <v>200000</v>
      </c>
    </row>
    <row r="386" spans="1:18" ht="12.75">
      <c r="A386" s="1">
        <f t="shared" si="70"/>
        <v>51592</v>
      </c>
      <c r="B386" s="2">
        <f t="shared" si="72"/>
        <v>29</v>
      </c>
      <c r="C386" s="2">
        <f t="shared" si="73"/>
        <v>347</v>
      </c>
      <c r="D386" s="3">
        <f t="shared" si="81"/>
        <v>816.4823619977051</v>
      </c>
      <c r="E386" s="3">
        <f t="shared" si="79"/>
        <v>25.70470649880407</v>
      </c>
      <c r="F386" s="3">
        <f t="shared" si="74"/>
        <v>790.777655498901</v>
      </c>
      <c r="G386" s="3">
        <f t="shared" si="75"/>
        <v>10425.821543979238</v>
      </c>
      <c r="H386" s="32"/>
      <c r="I386" s="32">
        <f>$G$39-SUM($H$39:$H386)</f>
        <v>200000</v>
      </c>
      <c r="J386" s="68"/>
      <c r="K386" s="2">
        <f t="shared" si="76"/>
        <v>29</v>
      </c>
      <c r="L386" s="2">
        <f t="shared" si="77"/>
        <v>347</v>
      </c>
      <c r="M386" s="3">
        <f>IF(L386&lt;&gt;" ",IF(P385&lt;M385,P385+N386,PMT($O$27,($N$30),-$R385))," ")</f>
        <v>773.3970181413515</v>
      </c>
      <c r="N386" s="3">
        <f t="shared" si="80"/>
        <v>27.24278023906919</v>
      </c>
      <c r="O386" s="3">
        <f t="shared" si="71"/>
        <v>746.1542379022824</v>
      </c>
      <c r="P386" s="3">
        <f t="shared" si="78"/>
        <v>13242.43638549653</v>
      </c>
      <c r="Q386" s="32"/>
      <c r="R386" s="32">
        <f>$G$39-SUM($Q$39:$Q386)</f>
        <v>200000</v>
      </c>
    </row>
    <row r="387" spans="1:18" ht="12.75">
      <c r="A387" s="1">
        <f t="shared" si="70"/>
        <v>51622</v>
      </c>
      <c r="B387" s="2">
        <f t="shared" si="72"/>
        <v>29</v>
      </c>
      <c r="C387" s="2">
        <f t="shared" si="73"/>
        <v>348</v>
      </c>
      <c r="D387" s="3">
        <f t="shared" si="81"/>
        <v>816.4823619977051</v>
      </c>
      <c r="E387" s="3">
        <f t="shared" si="79"/>
        <v>23.892507704952422</v>
      </c>
      <c r="F387" s="3">
        <f t="shared" si="74"/>
        <v>792.5898542927526</v>
      </c>
      <c r="G387" s="3">
        <f t="shared" si="75"/>
        <v>9633.231689686485</v>
      </c>
      <c r="H387" s="32"/>
      <c r="I387" s="32">
        <f>$G$39-SUM($H$39:$H387)</f>
        <v>200000</v>
      </c>
      <c r="J387" s="68"/>
      <c r="K387" s="2">
        <f t="shared" si="76"/>
        <v>29</v>
      </c>
      <c r="L387" s="2">
        <f t="shared" si="77"/>
        <v>348</v>
      </c>
      <c r="M387" s="3">
        <f>IF(L387&lt;&gt;" ",IF(P386&lt;M386,P386+N387,PMT($O$27,($N$30),-$R386))," ")</f>
        <v>773.3970181413515</v>
      </c>
      <c r="N387" s="3">
        <f t="shared" si="80"/>
        <v>25.789644860754496</v>
      </c>
      <c r="O387" s="3">
        <f t="shared" si="71"/>
        <v>747.607373280597</v>
      </c>
      <c r="P387" s="3">
        <f t="shared" si="78"/>
        <v>12494.829012215934</v>
      </c>
      <c r="Q387" s="32"/>
      <c r="R387" s="32">
        <f>$G$39-SUM($Q$39:$Q387)</f>
        <v>200000</v>
      </c>
    </row>
    <row r="388" spans="1:18" ht="12.75">
      <c r="A388" s="1">
        <f t="shared" si="70"/>
        <v>51653</v>
      </c>
      <c r="B388" s="2">
        <f t="shared" si="72"/>
        <v>30</v>
      </c>
      <c r="C388" s="2">
        <f t="shared" si="73"/>
        <v>349</v>
      </c>
      <c r="D388" s="3">
        <f t="shared" si="81"/>
        <v>816.4823619977051</v>
      </c>
      <c r="E388" s="3">
        <f t="shared" si="79"/>
        <v>22.07615595553153</v>
      </c>
      <c r="F388" s="3">
        <f t="shared" si="74"/>
        <v>794.4062060421736</v>
      </c>
      <c r="G388" s="3">
        <f t="shared" si="75"/>
        <v>8838.825483644312</v>
      </c>
      <c r="H388" s="32"/>
      <c r="I388" s="32">
        <f>$G$39-SUM($H$39:$H388)</f>
        <v>200000</v>
      </c>
      <c r="J388" s="68"/>
      <c r="K388" s="2">
        <f t="shared" si="76"/>
        <v>30</v>
      </c>
      <c r="L388" s="2">
        <f t="shared" si="77"/>
        <v>349</v>
      </c>
      <c r="M388" s="3">
        <f>IF(L388&lt;&gt;" ",IF(P387&lt;M387,P387+N388,PMT($O$27,($N$30),-$R387))," ")</f>
        <v>773.3970181413515</v>
      </c>
      <c r="N388" s="3">
        <f t="shared" si="80"/>
        <v>24.333679501290536</v>
      </c>
      <c r="O388" s="3">
        <f t="shared" si="71"/>
        <v>749.0633386400609</v>
      </c>
      <c r="P388" s="3">
        <f t="shared" si="78"/>
        <v>11745.765673575874</v>
      </c>
      <c r="Q388" s="32"/>
      <c r="R388" s="32">
        <f>$G$39-SUM($Q$39:$Q388)</f>
        <v>200000</v>
      </c>
    </row>
    <row r="389" spans="1:18" ht="12.75">
      <c r="A389" s="1">
        <f t="shared" si="70"/>
        <v>51683</v>
      </c>
      <c r="B389" s="2">
        <f t="shared" si="72"/>
        <v>30</v>
      </c>
      <c r="C389" s="2">
        <f t="shared" si="73"/>
        <v>350</v>
      </c>
      <c r="D389" s="3">
        <f t="shared" si="81"/>
        <v>816.4823619977051</v>
      </c>
      <c r="E389" s="3">
        <f t="shared" si="79"/>
        <v>20.25564173335155</v>
      </c>
      <c r="F389" s="3">
        <f t="shared" si="74"/>
        <v>796.2267202643535</v>
      </c>
      <c r="G389" s="3">
        <f t="shared" si="75"/>
        <v>8042.598763379959</v>
      </c>
      <c r="H389" s="32"/>
      <c r="I389" s="32">
        <f>$G$39-SUM($H$39:$H389)</f>
        <v>200000</v>
      </c>
      <c r="J389" s="68"/>
      <c r="K389" s="2">
        <f t="shared" si="76"/>
        <v>30</v>
      </c>
      <c r="L389" s="2">
        <f t="shared" si="77"/>
        <v>350</v>
      </c>
      <c r="M389" s="3">
        <f>IF(L389&lt;&gt;" ",IF(P388&lt;M388,P388+N389,PMT($O$27,($N$30),-$R388))," ")</f>
        <v>773.3970181413515</v>
      </c>
      <c r="N389" s="3">
        <f t="shared" si="80"/>
        <v>22.874878649289016</v>
      </c>
      <c r="O389" s="3">
        <f t="shared" si="71"/>
        <v>750.5221394920625</v>
      </c>
      <c r="P389" s="3">
        <f t="shared" si="78"/>
        <v>10995.243534083811</v>
      </c>
      <c r="Q389" s="32"/>
      <c r="R389" s="32">
        <f>$G$39-SUM($Q$39:$Q389)</f>
        <v>200000</v>
      </c>
    </row>
    <row r="390" spans="1:18" ht="12.75">
      <c r="A390" s="1">
        <f t="shared" si="70"/>
        <v>51714</v>
      </c>
      <c r="B390" s="2">
        <f t="shared" si="72"/>
        <v>30</v>
      </c>
      <c r="C390" s="2">
        <f t="shared" si="73"/>
        <v>351</v>
      </c>
      <c r="D390" s="3">
        <f t="shared" si="81"/>
        <v>816.4823619977051</v>
      </c>
      <c r="E390" s="3">
        <f t="shared" si="79"/>
        <v>18.430955499412406</v>
      </c>
      <c r="F390" s="3">
        <f t="shared" si="74"/>
        <v>798.0514064982926</v>
      </c>
      <c r="G390" s="3">
        <f t="shared" si="75"/>
        <v>7244.547356881666</v>
      </c>
      <c r="H390" s="32"/>
      <c r="I390" s="32">
        <f>$G$39-SUM($H$39:$H390)</f>
        <v>200000</v>
      </c>
      <c r="J390" s="68"/>
      <c r="K390" s="2">
        <f t="shared" si="76"/>
        <v>30</v>
      </c>
      <c r="L390" s="2">
        <f t="shared" si="77"/>
        <v>351</v>
      </c>
      <c r="M390" s="3">
        <f>IF(L390&lt;&gt;" ",IF(P389&lt;M389,P389+N390,PMT($O$27,($N$30),-$R389))," ")</f>
        <v>773.3970181413515</v>
      </c>
      <c r="N390" s="3">
        <f t="shared" si="80"/>
        <v>21.413236782628225</v>
      </c>
      <c r="O390" s="3">
        <f t="shared" si="71"/>
        <v>751.9837813587233</v>
      </c>
      <c r="P390" s="3">
        <f t="shared" si="78"/>
        <v>10243.259752725087</v>
      </c>
      <c r="Q390" s="32"/>
      <c r="R390" s="32">
        <f>$G$39-SUM($Q$39:$Q390)</f>
        <v>200000</v>
      </c>
    </row>
    <row r="391" spans="1:18" ht="12.75">
      <c r="A391" s="1">
        <f t="shared" si="70"/>
        <v>51745</v>
      </c>
      <c r="B391" s="2">
        <f t="shared" si="72"/>
        <v>30</v>
      </c>
      <c r="C391" s="2">
        <f t="shared" si="73"/>
        <v>352</v>
      </c>
      <c r="D391" s="3">
        <f t="shared" si="81"/>
        <v>816.4823619977051</v>
      </c>
      <c r="E391" s="3">
        <f t="shared" si="79"/>
        <v>16.602087692853818</v>
      </c>
      <c r="F391" s="3">
        <f t="shared" si="74"/>
        <v>799.8802743048512</v>
      </c>
      <c r="G391" s="3">
        <f t="shared" si="75"/>
        <v>6444.667082576815</v>
      </c>
      <c r="H391" s="32"/>
      <c r="I391" s="32">
        <f>$G$39-SUM($H$39:$H391)</f>
        <v>200000</v>
      </c>
      <c r="J391" s="68"/>
      <c r="K391" s="2">
        <f t="shared" si="76"/>
        <v>30</v>
      </c>
      <c r="L391" s="2">
        <f t="shared" si="77"/>
        <v>352</v>
      </c>
      <c r="M391" s="3">
        <f>IF(L391&lt;&gt;" ",IF(P390&lt;M390,P390+N391,PMT($O$27,($N$30),-$R390))," ")</f>
        <v>773.3970181413515</v>
      </c>
      <c r="N391" s="3">
        <f t="shared" si="80"/>
        <v>19.94874836843211</v>
      </c>
      <c r="O391" s="3">
        <f t="shared" si="71"/>
        <v>753.4482697729194</v>
      </c>
      <c r="P391" s="3">
        <f t="shared" si="78"/>
        <v>9489.811482952167</v>
      </c>
      <c r="Q391" s="32"/>
      <c r="R391" s="32">
        <f>$G$39-SUM($Q$39:$Q391)</f>
        <v>200000</v>
      </c>
    </row>
    <row r="392" spans="1:18" ht="12.75">
      <c r="A392" s="1">
        <f t="shared" si="70"/>
        <v>51775</v>
      </c>
      <c r="B392" s="2">
        <f t="shared" si="72"/>
        <v>30</v>
      </c>
      <c r="C392" s="2">
        <f t="shared" si="73"/>
        <v>353</v>
      </c>
      <c r="D392" s="3">
        <f t="shared" si="81"/>
        <v>816.4823619977051</v>
      </c>
      <c r="E392" s="3">
        <f t="shared" si="79"/>
        <v>14.769028730905202</v>
      </c>
      <c r="F392" s="3">
        <f t="shared" si="74"/>
        <v>801.7133332667999</v>
      </c>
      <c r="G392" s="3">
        <f t="shared" si="75"/>
        <v>5642.953749310015</v>
      </c>
      <c r="H392" s="32"/>
      <c r="I392" s="32">
        <f>$G$39-SUM($H$39:$H392)</f>
        <v>200000</v>
      </c>
      <c r="J392" s="68"/>
      <c r="K392" s="2">
        <f t="shared" si="76"/>
        <v>30</v>
      </c>
      <c r="L392" s="2">
        <f t="shared" si="77"/>
        <v>353</v>
      </c>
      <c r="M392" s="3">
        <f>IF(L392&lt;&gt;" ",IF(P391&lt;M391,P391+N392,PMT($O$27,($N$30),-$R391))," ")</f>
        <v>773.3970181413515</v>
      </c>
      <c r="N392" s="3">
        <f t="shared" si="80"/>
        <v>18.48140786304935</v>
      </c>
      <c r="O392" s="3">
        <f t="shared" si="71"/>
        <v>754.9156102783022</v>
      </c>
      <c r="P392" s="3">
        <f t="shared" si="78"/>
        <v>8734.895872673866</v>
      </c>
      <c r="Q392" s="32"/>
      <c r="R392" s="32">
        <f>$G$39-SUM($Q$39:$Q392)</f>
        <v>200000</v>
      </c>
    </row>
    <row r="393" spans="1:18" ht="12.75">
      <c r="A393" s="1">
        <f t="shared" si="70"/>
        <v>51806</v>
      </c>
      <c r="B393" s="2">
        <f t="shared" si="72"/>
        <v>30</v>
      </c>
      <c r="C393" s="2">
        <f t="shared" si="73"/>
        <v>354</v>
      </c>
      <c r="D393" s="3">
        <f t="shared" si="81"/>
        <v>816.4823619977051</v>
      </c>
      <c r="E393" s="3">
        <f t="shared" si="79"/>
        <v>12.93176900883545</v>
      </c>
      <c r="F393" s="3">
        <f t="shared" si="74"/>
        <v>803.5505929888697</v>
      </c>
      <c r="G393" s="3">
        <f t="shared" si="75"/>
        <v>4839.403156321146</v>
      </c>
      <c r="H393" s="32"/>
      <c r="I393" s="32">
        <f>$G$39-SUM($H$39:$H393)</f>
        <v>200000</v>
      </c>
      <c r="J393" s="68"/>
      <c r="K393" s="2">
        <f t="shared" si="76"/>
        <v>30</v>
      </c>
      <c r="L393" s="2">
        <f t="shared" si="77"/>
        <v>354</v>
      </c>
      <c r="M393" s="3">
        <f>IF(L393&lt;&gt;" ",IF(P392&lt;M392,P392+N393,PMT($O$27,($N$30),-$R392))," ")</f>
        <v>773.3970181413515</v>
      </c>
      <c r="N393" s="3">
        <f t="shared" si="80"/>
        <v>17.011209712032354</v>
      </c>
      <c r="O393" s="3">
        <f t="shared" si="71"/>
        <v>756.3858084293191</v>
      </c>
      <c r="P393" s="3">
        <f t="shared" si="78"/>
        <v>7978.510064244547</v>
      </c>
      <c r="Q393" s="32"/>
      <c r="R393" s="32">
        <f>$G$39-SUM($Q$39:$Q393)</f>
        <v>200000</v>
      </c>
    </row>
    <row r="394" spans="1:18" ht="12.75">
      <c r="A394" s="1">
        <f t="shared" si="70"/>
        <v>51836</v>
      </c>
      <c r="B394" s="2">
        <f t="shared" si="72"/>
        <v>30</v>
      </c>
      <c r="C394" s="2">
        <f t="shared" si="73"/>
        <v>355</v>
      </c>
      <c r="D394" s="3">
        <f t="shared" si="81"/>
        <v>816.4823619977051</v>
      </c>
      <c r="E394" s="3">
        <f t="shared" si="79"/>
        <v>11.090298899902626</v>
      </c>
      <c r="F394" s="3">
        <f t="shared" si="74"/>
        <v>805.3920630978024</v>
      </c>
      <c r="G394" s="3">
        <f t="shared" si="75"/>
        <v>4034.0110932233433</v>
      </c>
      <c r="H394" s="32"/>
      <c r="I394" s="32">
        <f>$G$39-SUM($H$39:$H394)</f>
        <v>200000</v>
      </c>
      <c r="J394" s="68"/>
      <c r="K394" s="2">
        <f t="shared" si="76"/>
        <v>30</v>
      </c>
      <c r="L394" s="2">
        <f t="shared" si="77"/>
        <v>355</v>
      </c>
      <c r="M394" s="3">
        <f>IF(L394&lt;&gt;" ",IF(P393&lt;M393,P393+N394,PMT($O$27,($N$30),-$R393))," ")</f>
        <v>773.3970181413515</v>
      </c>
      <c r="N394" s="3">
        <f t="shared" si="80"/>
        <v>15.538148350116257</v>
      </c>
      <c r="O394" s="3">
        <f t="shared" si="71"/>
        <v>757.8588697912353</v>
      </c>
      <c r="P394" s="3">
        <f t="shared" si="78"/>
        <v>7220.651194453311</v>
      </c>
      <c r="Q394" s="32"/>
      <c r="R394" s="32">
        <f>$G$39-SUM($Q$39:$Q394)</f>
        <v>200000</v>
      </c>
    </row>
    <row r="395" spans="1:18" ht="12.75">
      <c r="A395" s="1">
        <f t="shared" si="70"/>
        <v>51867</v>
      </c>
      <c r="B395" s="2">
        <f t="shared" si="72"/>
        <v>30</v>
      </c>
      <c r="C395" s="2">
        <f t="shared" si="73"/>
        <v>356</v>
      </c>
      <c r="D395" s="3">
        <f t="shared" si="81"/>
        <v>816.4823619977051</v>
      </c>
      <c r="E395" s="3">
        <f t="shared" si="79"/>
        <v>9.244608755303496</v>
      </c>
      <c r="F395" s="3">
        <f t="shared" si="74"/>
        <v>807.2377532424016</v>
      </c>
      <c r="G395" s="3">
        <f t="shared" si="75"/>
        <v>3226.7733399809417</v>
      </c>
      <c r="H395" s="32"/>
      <c r="I395" s="32">
        <f>$G$39-SUM($H$39:$H395)</f>
        <v>200000</v>
      </c>
      <c r="J395" s="68"/>
      <c r="K395" s="2">
        <f t="shared" si="76"/>
        <v>30</v>
      </c>
      <c r="L395" s="2">
        <f t="shared" si="77"/>
        <v>356</v>
      </c>
      <c r="M395" s="3">
        <f>IF(L395&lt;&gt;" ",IF(P394&lt;M394,P394+N395,PMT($O$27,($N$30),-$R394))," ")</f>
        <v>773.3970181413515</v>
      </c>
      <c r="N395" s="3">
        <f t="shared" si="80"/>
        <v>14.062218201197826</v>
      </c>
      <c r="O395" s="3">
        <f t="shared" si="71"/>
        <v>759.3347999401536</v>
      </c>
      <c r="P395" s="3">
        <f t="shared" si="78"/>
        <v>6461.316394513157</v>
      </c>
      <c r="Q395" s="32"/>
      <c r="R395" s="32">
        <f>$G$39-SUM($Q$39:$Q395)</f>
        <v>200000</v>
      </c>
    </row>
    <row r="396" spans="1:18" ht="12.75">
      <c r="A396" s="1">
        <f t="shared" si="70"/>
        <v>51898</v>
      </c>
      <c r="B396" s="2">
        <f t="shared" si="72"/>
        <v>30</v>
      </c>
      <c r="C396" s="2">
        <f t="shared" si="73"/>
        <v>357</v>
      </c>
      <c r="D396" s="3">
        <f t="shared" si="81"/>
        <v>816.4823619977051</v>
      </c>
      <c r="E396" s="3">
        <f t="shared" si="79"/>
        <v>7.394688904122991</v>
      </c>
      <c r="F396" s="3">
        <f t="shared" si="74"/>
        <v>809.0876730935821</v>
      </c>
      <c r="G396" s="3">
        <f t="shared" si="75"/>
        <v>2417.6856668873597</v>
      </c>
      <c r="H396" s="32"/>
      <c r="I396" s="32">
        <f>$G$39-SUM($H$39:$H396)</f>
        <v>200000</v>
      </c>
      <c r="J396" s="68"/>
      <c r="K396" s="2">
        <f t="shared" si="76"/>
        <v>30</v>
      </c>
      <c r="L396" s="2">
        <f t="shared" si="77"/>
        <v>357</v>
      </c>
      <c r="M396" s="3">
        <f>IF(L396&lt;&gt;" ",IF(P395&lt;M395,P395+N396,PMT($O$27,($N$30),-$R395))," ")</f>
        <v>773.3970181413515</v>
      </c>
      <c r="N396" s="3">
        <f t="shared" si="80"/>
        <v>12.583413678314376</v>
      </c>
      <c r="O396" s="3">
        <f t="shared" si="71"/>
        <v>760.8136044630371</v>
      </c>
      <c r="P396" s="3">
        <f t="shared" si="78"/>
        <v>5700.50279005012</v>
      </c>
      <c r="Q396" s="32"/>
      <c r="R396" s="32">
        <f>$G$39-SUM($Q$39:$Q396)</f>
        <v>200000</v>
      </c>
    </row>
    <row r="397" spans="1:18" ht="12.75">
      <c r="A397" s="1">
        <f t="shared" si="70"/>
        <v>51926</v>
      </c>
      <c r="B397" s="2">
        <f t="shared" si="72"/>
        <v>30</v>
      </c>
      <c r="C397" s="2">
        <f t="shared" si="73"/>
        <v>358</v>
      </c>
      <c r="D397" s="3">
        <f t="shared" si="81"/>
        <v>816.4823619977051</v>
      </c>
      <c r="E397" s="3">
        <f t="shared" si="79"/>
        <v>5.540529653283532</v>
      </c>
      <c r="F397" s="3">
        <f t="shared" si="74"/>
        <v>810.9418323444215</v>
      </c>
      <c r="G397" s="3">
        <f t="shared" si="75"/>
        <v>1606.7438345429382</v>
      </c>
      <c r="H397" s="32"/>
      <c r="I397" s="32">
        <f>$G$39-SUM($H$39:$H397)</f>
        <v>200000</v>
      </c>
      <c r="J397" s="68"/>
      <c r="K397" s="2">
        <f t="shared" si="76"/>
        <v>30</v>
      </c>
      <c r="L397" s="2">
        <f t="shared" si="77"/>
        <v>358</v>
      </c>
      <c r="M397" s="3">
        <f>IF(L397&lt;&gt;" ",IF(P396&lt;M396,P396+N397,PMT($O$27,($N$30),-$R396))," ")</f>
        <v>773.3970181413515</v>
      </c>
      <c r="N397" s="3">
        <f t="shared" si="80"/>
        <v>11.10172918362261</v>
      </c>
      <c r="O397" s="3">
        <f t="shared" si="71"/>
        <v>762.2952889577289</v>
      </c>
      <c r="P397" s="3">
        <f t="shared" si="78"/>
        <v>4938.207501092391</v>
      </c>
      <c r="Q397" s="32"/>
      <c r="R397" s="32">
        <f>$G$39-SUM($Q$39:$Q397)</f>
        <v>200000</v>
      </c>
    </row>
    <row r="398" spans="1:18" ht="12.75">
      <c r="A398" s="1">
        <f t="shared" si="70"/>
        <v>51957</v>
      </c>
      <c r="B398" s="2">
        <f t="shared" si="72"/>
        <v>30</v>
      </c>
      <c r="C398" s="2">
        <f t="shared" si="73"/>
        <v>359</v>
      </c>
      <c r="D398" s="3">
        <f t="shared" si="81"/>
        <v>816.4823619977051</v>
      </c>
      <c r="E398" s="3">
        <f t="shared" si="79"/>
        <v>3.6821212874942333</v>
      </c>
      <c r="F398" s="3">
        <f t="shared" si="74"/>
        <v>812.8002407102108</v>
      </c>
      <c r="G398" s="3">
        <f t="shared" si="75"/>
        <v>793.9435938327274</v>
      </c>
      <c r="H398" s="32"/>
      <c r="I398" s="32">
        <f>$G$39-SUM($H$39:$H398)</f>
        <v>200000</v>
      </c>
      <c r="J398" s="68"/>
      <c r="K398" s="2">
        <f t="shared" si="76"/>
        <v>30</v>
      </c>
      <c r="L398" s="2">
        <f t="shared" si="77"/>
        <v>359</v>
      </c>
      <c r="M398" s="3">
        <f>IF(L398&lt;&gt;" ",IF(P397&lt;M397,P397+N398,PMT($O$27,($N$30),-$R397))," ")</f>
        <v>773.3970181413515</v>
      </c>
      <c r="N398" s="3">
        <f t="shared" si="80"/>
        <v>9.617159108377432</v>
      </c>
      <c r="O398" s="3">
        <f t="shared" si="71"/>
        <v>763.7798590329741</v>
      </c>
      <c r="P398" s="3">
        <f t="shared" si="78"/>
        <v>4174.427642059417</v>
      </c>
      <c r="Q398" s="32"/>
      <c r="R398" s="32">
        <f>$G$39-SUM($Q$39:$Q398)</f>
        <v>200000</v>
      </c>
    </row>
    <row r="399" spans="1:18" ht="12.75">
      <c r="A399" s="1">
        <f t="shared" si="70"/>
        <v>51987</v>
      </c>
      <c r="B399" s="2">
        <f t="shared" si="72"/>
        <v>30</v>
      </c>
      <c r="C399" s="2">
        <f t="shared" si="73"/>
        <v>360</v>
      </c>
      <c r="D399" s="3">
        <f t="shared" si="81"/>
        <v>795.7630479019274</v>
      </c>
      <c r="E399" s="3">
        <f t="shared" si="79"/>
        <v>1.8194540692000003</v>
      </c>
      <c r="F399" s="3">
        <f t="shared" si="74"/>
        <v>793.9435938327274</v>
      </c>
      <c r="G399" s="3">
        <f t="shared" si="75"/>
        <v>0</v>
      </c>
      <c r="H399" s="32"/>
      <c r="I399" s="32">
        <f>$G$39-SUM($H$39:$H399)</f>
        <v>200000</v>
      </c>
      <c r="J399" s="68"/>
      <c r="K399" s="2">
        <f t="shared" si="76"/>
        <v>30</v>
      </c>
      <c r="L399" s="2">
        <f t="shared" si="77"/>
        <v>360</v>
      </c>
      <c r="M399" s="3">
        <f>IF(L399&lt;&gt;" ",IF(P398&lt;M398,P398+N399,PMT($O$27,($N$30),-$R398))," ")</f>
        <v>773.3970181413515</v>
      </c>
      <c r="N399" s="3">
        <f t="shared" si="80"/>
        <v>8.129697832910715</v>
      </c>
      <c r="O399" s="3">
        <f t="shared" si="71"/>
        <v>765.2673203084408</v>
      </c>
      <c r="P399" s="3">
        <f t="shared" si="78"/>
        <v>3409.160321750976</v>
      </c>
      <c r="Q399" s="32"/>
      <c r="R399" s="32">
        <f>$G$39-SUM($Q$39:$Q399)</f>
        <v>200000</v>
      </c>
    </row>
    <row r="400" spans="1:18" ht="12.75">
      <c r="A400" s="1">
        <f>IF(B400&lt;&gt;" ",DATE(YEAR(A399),MONTH(A399)+1,DAY(A399)),"")</f>
      </c>
      <c r="B400" s="2" t="str">
        <f t="shared" si="72"/>
        <v> </v>
      </c>
      <c r="C400" s="2" t="str">
        <f t="shared" si="73"/>
        <v> </v>
      </c>
      <c r="D400" s="3" t="str">
        <f t="shared" si="81"/>
        <v> </v>
      </c>
      <c r="E400" s="3" t="str">
        <f t="shared" si="79"/>
        <v> </v>
      </c>
      <c r="F400" s="3" t="str">
        <f t="shared" si="74"/>
        <v> </v>
      </c>
      <c r="G400" s="3" t="str">
        <f t="shared" si="75"/>
        <v> </v>
      </c>
      <c r="H400" s="32"/>
      <c r="I400" s="32">
        <f>$G$39-SUM($H$39:$H400)</f>
        <v>200000</v>
      </c>
      <c r="J400" s="68"/>
      <c r="K400" s="2" t="str">
        <f t="shared" si="76"/>
        <v> </v>
      </c>
      <c r="L400" s="2" t="str">
        <f t="shared" si="77"/>
        <v> </v>
      </c>
      <c r="M400" s="3" t="str">
        <f>IF(L400&lt;&gt;" ",IF(P399&lt;M399,P399+N400,PMT($O$27,($N$30),-$R399))," ")</f>
        <v> </v>
      </c>
      <c r="N400" s="3" t="str">
        <f t="shared" si="80"/>
        <v> </v>
      </c>
      <c r="O400" s="3" t="str">
        <f t="shared" si="71"/>
        <v> </v>
      </c>
      <c r="P400" s="3" t="str">
        <f t="shared" si="78"/>
        <v> </v>
      </c>
      <c r="Q400" s="32"/>
      <c r="R400" s="32">
        <f>$G$39-SUM($Q$39:$Q400)</f>
        <v>200000</v>
      </c>
    </row>
    <row r="401" spans="1:18" ht="12.75">
      <c r="A401" s="1">
        <f aca="true" t="shared" si="82" ref="A401:A464">IF(B401&lt;&gt;" ",DATE(YEAR(A400),MONTH(A400)+1,DAY(A400)),"")</f>
      </c>
      <c r="B401" s="2" t="str">
        <f t="shared" si="72"/>
        <v> </v>
      </c>
      <c r="C401" s="2" t="str">
        <f t="shared" si="73"/>
        <v> </v>
      </c>
      <c r="D401" s="3" t="str">
        <f t="shared" si="81"/>
        <v> </v>
      </c>
      <c r="E401" s="3" t="str">
        <f t="shared" si="79"/>
        <v> </v>
      </c>
      <c r="F401" s="3" t="str">
        <f t="shared" si="74"/>
        <v> </v>
      </c>
      <c r="G401" s="3" t="str">
        <f t="shared" si="75"/>
        <v> </v>
      </c>
      <c r="H401" s="32"/>
      <c r="I401" s="32">
        <f>$G$39-SUM($H$39:$H401)</f>
        <v>200000</v>
      </c>
      <c r="J401" s="68"/>
      <c r="K401" s="2" t="str">
        <f t="shared" si="76"/>
        <v> </v>
      </c>
      <c r="L401" s="2" t="str">
        <f t="shared" si="77"/>
        <v> </v>
      </c>
      <c r="M401" s="3" t="str">
        <f>IF(L401&lt;&gt;" ",IF(P400&lt;M400,P400+N401,PMT($O$27,($N$30),-$R400))," ")</f>
        <v> </v>
      </c>
      <c r="N401" s="3" t="str">
        <f t="shared" si="80"/>
        <v> </v>
      </c>
      <c r="O401" s="3" t="str">
        <f t="shared" si="71"/>
        <v> </v>
      </c>
      <c r="P401" s="3" t="str">
        <f t="shared" si="78"/>
        <v> </v>
      </c>
      <c r="Q401" s="32"/>
      <c r="R401" s="32">
        <f>$G$39-SUM($Q$39:$Q401)</f>
        <v>200000</v>
      </c>
    </row>
    <row r="402" spans="1:18" ht="12.75">
      <c r="A402" s="1">
        <f t="shared" si="82"/>
      </c>
      <c r="B402" s="2" t="str">
        <f t="shared" si="72"/>
        <v> </v>
      </c>
      <c r="C402" s="2" t="str">
        <f t="shared" si="73"/>
        <v> </v>
      </c>
      <c r="D402" s="3" t="str">
        <f t="shared" si="81"/>
        <v> </v>
      </c>
      <c r="E402" s="3" t="str">
        <f t="shared" si="79"/>
        <v> </v>
      </c>
      <c r="F402" s="3" t="str">
        <f t="shared" si="74"/>
        <v> </v>
      </c>
      <c r="G402" s="3" t="str">
        <f t="shared" si="75"/>
        <v> </v>
      </c>
      <c r="H402" s="32"/>
      <c r="I402" s="32">
        <f>$G$39-SUM($H$39:$H402)</f>
        <v>200000</v>
      </c>
      <c r="J402" s="68"/>
      <c r="K402" s="2" t="str">
        <f t="shared" si="76"/>
        <v> </v>
      </c>
      <c r="L402" s="2" t="str">
        <f t="shared" si="77"/>
        <v> </v>
      </c>
      <c r="M402" s="3" t="str">
        <f>IF(L402&lt;&gt;" ",IF(P401&lt;M401,P401+N402,PMT($O$27,($N$30),-$R401))," ")</f>
        <v> </v>
      </c>
      <c r="N402" s="3" t="str">
        <f t="shared" si="80"/>
        <v> </v>
      </c>
      <c r="O402" s="3" t="str">
        <f t="shared" si="71"/>
        <v> </v>
      </c>
      <c r="P402" s="3" t="str">
        <f t="shared" si="78"/>
        <v> </v>
      </c>
      <c r="Q402" s="32"/>
      <c r="R402" s="32">
        <f>$G$39-SUM($Q$39:$Q402)</f>
        <v>200000</v>
      </c>
    </row>
    <row r="403" spans="1:18" ht="12.75">
      <c r="A403" s="1">
        <f t="shared" si="82"/>
      </c>
      <c r="B403" s="2" t="str">
        <f t="shared" si="72"/>
        <v> </v>
      </c>
      <c r="C403" s="2" t="str">
        <f t="shared" si="73"/>
        <v> </v>
      </c>
      <c r="D403" s="3" t="str">
        <f t="shared" si="81"/>
        <v> </v>
      </c>
      <c r="E403" s="3" t="str">
        <f t="shared" si="79"/>
        <v> </v>
      </c>
      <c r="F403" s="3" t="str">
        <f t="shared" si="74"/>
        <v> </v>
      </c>
      <c r="G403" s="3" t="str">
        <f t="shared" si="75"/>
        <v> </v>
      </c>
      <c r="H403" s="32"/>
      <c r="I403" s="32">
        <f>$G$39-SUM($H$39:$H403)</f>
        <v>200000</v>
      </c>
      <c r="J403" s="68"/>
      <c r="K403" s="2" t="str">
        <f t="shared" si="76"/>
        <v> </v>
      </c>
      <c r="L403" s="2" t="str">
        <f t="shared" si="77"/>
        <v> </v>
      </c>
      <c r="M403" s="3" t="str">
        <f>IF(L403&lt;&gt;" ",IF(P402&lt;M402,P402+N403,PMT($O$27,($N$30),-$R402))," ")</f>
        <v> </v>
      </c>
      <c r="N403" s="3" t="str">
        <f t="shared" si="80"/>
        <v> </v>
      </c>
      <c r="O403" s="3" t="str">
        <f t="shared" si="71"/>
        <v> </v>
      </c>
      <c r="P403" s="3" t="str">
        <f t="shared" si="78"/>
        <v> </v>
      </c>
      <c r="Q403" s="32"/>
      <c r="R403" s="32">
        <f>$G$39-SUM($Q$39:$Q403)</f>
        <v>200000</v>
      </c>
    </row>
    <row r="404" spans="1:18" ht="12.75">
      <c r="A404" s="1">
        <f t="shared" si="82"/>
      </c>
      <c r="B404" s="2" t="str">
        <f t="shared" si="72"/>
        <v> </v>
      </c>
      <c r="C404" s="2" t="str">
        <f t="shared" si="73"/>
        <v> </v>
      </c>
      <c r="D404" s="3" t="str">
        <f t="shared" si="81"/>
        <v> </v>
      </c>
      <c r="E404" s="3" t="str">
        <f t="shared" si="79"/>
        <v> </v>
      </c>
      <c r="F404" s="3" t="str">
        <f t="shared" si="74"/>
        <v> </v>
      </c>
      <c r="G404" s="3" t="str">
        <f t="shared" si="75"/>
        <v> </v>
      </c>
      <c r="H404" s="32"/>
      <c r="I404" s="32">
        <f>$G$39-SUM($H$39:$H404)</f>
        <v>200000</v>
      </c>
      <c r="J404" s="68"/>
      <c r="K404" s="2" t="str">
        <f t="shared" si="76"/>
        <v> </v>
      </c>
      <c r="L404" s="2" t="str">
        <f t="shared" si="77"/>
        <v> </v>
      </c>
      <c r="M404" s="3" t="str">
        <f>IF(L404&lt;&gt;" ",IF(P403&lt;M403,P403+N404,PMT($O$27,($N$30),-$R403))," ")</f>
        <v> </v>
      </c>
      <c r="N404" s="3" t="str">
        <f t="shared" si="80"/>
        <v> </v>
      </c>
      <c r="O404" s="3" t="str">
        <f t="shared" si="71"/>
        <v> </v>
      </c>
      <c r="P404" s="3" t="str">
        <f t="shared" si="78"/>
        <v> </v>
      </c>
      <c r="Q404" s="32"/>
      <c r="R404" s="32">
        <f>$G$39-SUM($Q$39:$Q404)</f>
        <v>200000</v>
      </c>
    </row>
    <row r="405" spans="1:18" ht="12.75">
      <c r="A405" s="1">
        <f t="shared" si="82"/>
      </c>
      <c r="B405" s="2" t="str">
        <f t="shared" si="72"/>
        <v> </v>
      </c>
      <c r="C405" s="2" t="str">
        <f t="shared" si="73"/>
        <v> </v>
      </c>
      <c r="D405" s="3" t="str">
        <f t="shared" si="81"/>
        <v> </v>
      </c>
      <c r="E405" s="3" t="str">
        <f t="shared" si="79"/>
        <v> </v>
      </c>
      <c r="F405" s="3" t="str">
        <f t="shared" si="74"/>
        <v> </v>
      </c>
      <c r="G405" s="3" t="str">
        <f t="shared" si="75"/>
        <v> </v>
      </c>
      <c r="H405" s="32"/>
      <c r="I405" s="32">
        <f>$G$39-SUM($H$39:$H405)</f>
        <v>200000</v>
      </c>
      <c r="J405" s="68"/>
      <c r="K405" s="2" t="str">
        <f t="shared" si="76"/>
        <v> </v>
      </c>
      <c r="L405" s="2" t="str">
        <f t="shared" si="77"/>
        <v> </v>
      </c>
      <c r="M405" s="3" t="str">
        <f>IF(L405&lt;&gt;" ",IF(P404&lt;M404,P404+N405,PMT($O$27,($N$30),-$R404))," ")</f>
        <v> </v>
      </c>
      <c r="N405" s="3" t="str">
        <f t="shared" si="80"/>
        <v> </v>
      </c>
      <c r="O405" s="3" t="str">
        <f t="shared" si="71"/>
        <v> </v>
      </c>
      <c r="P405" s="3" t="str">
        <f t="shared" si="78"/>
        <v> </v>
      </c>
      <c r="Q405" s="32"/>
      <c r="R405" s="32">
        <f>$G$39-SUM($Q$39:$Q405)</f>
        <v>200000</v>
      </c>
    </row>
    <row r="406" spans="1:18" ht="12.75">
      <c r="A406" s="1">
        <f t="shared" si="82"/>
      </c>
      <c r="B406" s="2" t="str">
        <f t="shared" si="72"/>
        <v> </v>
      </c>
      <c r="C406" s="2" t="str">
        <f t="shared" si="73"/>
        <v> </v>
      </c>
      <c r="D406" s="3" t="str">
        <f t="shared" si="81"/>
        <v> </v>
      </c>
      <c r="E406" s="3" t="str">
        <f t="shared" si="79"/>
        <v> </v>
      </c>
      <c r="F406" s="3" t="str">
        <f t="shared" si="74"/>
        <v> </v>
      </c>
      <c r="G406" s="3" t="str">
        <f t="shared" si="75"/>
        <v> </v>
      </c>
      <c r="H406" s="32"/>
      <c r="I406" s="32">
        <f>$G$39-SUM($H$39:$H406)</f>
        <v>200000</v>
      </c>
      <c r="J406" s="68"/>
      <c r="K406" s="2" t="str">
        <f t="shared" si="76"/>
        <v> </v>
      </c>
      <c r="L406" s="2" t="str">
        <f t="shared" si="77"/>
        <v> </v>
      </c>
      <c r="M406" s="3" t="str">
        <f>IF(L406&lt;&gt;" ",IF(P405&lt;M405,P405+N406,PMT($O$27,($N$30),-$R405))," ")</f>
        <v> </v>
      </c>
      <c r="N406" s="3" t="str">
        <f t="shared" si="80"/>
        <v> </v>
      </c>
      <c r="O406" s="3" t="str">
        <f t="shared" si="71"/>
        <v> </v>
      </c>
      <c r="P406" s="3" t="str">
        <f t="shared" si="78"/>
        <v> </v>
      </c>
      <c r="Q406" s="32"/>
      <c r="R406" s="32">
        <f>$G$39-SUM($Q$39:$Q406)</f>
        <v>200000</v>
      </c>
    </row>
    <row r="407" spans="1:18" ht="12.75">
      <c r="A407" s="1">
        <f t="shared" si="82"/>
      </c>
      <c r="B407" s="2" t="str">
        <f t="shared" si="72"/>
        <v> </v>
      </c>
      <c r="C407" s="2" t="str">
        <f t="shared" si="73"/>
        <v> </v>
      </c>
      <c r="D407" s="3" t="str">
        <f t="shared" si="81"/>
        <v> </v>
      </c>
      <c r="E407" s="3" t="str">
        <f t="shared" si="79"/>
        <v> </v>
      </c>
      <c r="F407" s="3" t="str">
        <f t="shared" si="74"/>
        <v> </v>
      </c>
      <c r="G407" s="3" t="str">
        <f t="shared" si="75"/>
        <v> </v>
      </c>
      <c r="H407" s="32"/>
      <c r="I407" s="32">
        <f>$G$39-SUM($H$39:$H407)</f>
        <v>200000</v>
      </c>
      <c r="J407" s="68"/>
      <c r="K407" s="2" t="str">
        <f t="shared" si="76"/>
        <v> </v>
      </c>
      <c r="L407" s="2" t="str">
        <f t="shared" si="77"/>
        <v> </v>
      </c>
      <c r="M407" s="3" t="str">
        <f>IF(L407&lt;&gt;" ",IF(P406&lt;M406,P406+N407,PMT($O$27,($N$30),-$R406))," ")</f>
        <v> </v>
      </c>
      <c r="N407" s="3" t="str">
        <f t="shared" si="80"/>
        <v> </v>
      </c>
      <c r="O407" s="3" t="str">
        <f t="shared" si="71"/>
        <v> </v>
      </c>
      <c r="P407" s="3" t="str">
        <f t="shared" si="78"/>
        <v> </v>
      </c>
      <c r="Q407" s="32"/>
      <c r="R407" s="32">
        <f>$G$39-SUM($Q$39:$Q407)</f>
        <v>200000</v>
      </c>
    </row>
    <row r="408" spans="1:18" ht="12.75">
      <c r="A408" s="1">
        <f t="shared" si="82"/>
      </c>
      <c r="B408" s="2" t="str">
        <f t="shared" si="72"/>
        <v> </v>
      </c>
      <c r="C408" s="2" t="str">
        <f t="shared" si="73"/>
        <v> </v>
      </c>
      <c r="D408" s="3" t="str">
        <f t="shared" si="81"/>
        <v> </v>
      </c>
      <c r="E408" s="3" t="str">
        <f t="shared" si="79"/>
        <v> </v>
      </c>
      <c r="F408" s="3" t="str">
        <f t="shared" si="74"/>
        <v> </v>
      </c>
      <c r="G408" s="3" t="str">
        <f t="shared" si="75"/>
        <v> </v>
      </c>
      <c r="H408" s="32"/>
      <c r="I408" s="32">
        <f>$G$39-SUM($H$39:$H408)</f>
        <v>200000</v>
      </c>
      <c r="J408" s="68"/>
      <c r="K408" s="2" t="str">
        <f t="shared" si="76"/>
        <v> </v>
      </c>
      <c r="L408" s="2" t="str">
        <f t="shared" si="77"/>
        <v> </v>
      </c>
      <c r="M408" s="3" t="str">
        <f>IF(L408&lt;&gt;" ",IF(P407&lt;M407,P407+N408,PMT($O$27,($N$30),-$R407))," ")</f>
        <v> </v>
      </c>
      <c r="N408" s="3" t="str">
        <f t="shared" si="80"/>
        <v> </v>
      </c>
      <c r="O408" s="3" t="str">
        <f t="shared" si="71"/>
        <v> </v>
      </c>
      <c r="P408" s="3" t="str">
        <f t="shared" si="78"/>
        <v> </v>
      </c>
      <c r="Q408" s="32"/>
      <c r="R408" s="32">
        <f>$G$39-SUM($Q$39:$Q408)</f>
        <v>200000</v>
      </c>
    </row>
    <row r="409" spans="1:18" ht="12.75">
      <c r="A409" s="1">
        <f t="shared" si="82"/>
      </c>
      <c r="B409" s="2" t="str">
        <f t="shared" si="72"/>
        <v> </v>
      </c>
      <c r="C409" s="2" t="str">
        <f t="shared" si="73"/>
        <v> </v>
      </c>
      <c r="D409" s="3" t="str">
        <f t="shared" si="81"/>
        <v> </v>
      </c>
      <c r="E409" s="3" t="str">
        <f t="shared" si="79"/>
        <v> </v>
      </c>
      <c r="F409" s="3" t="str">
        <f t="shared" si="74"/>
        <v> </v>
      </c>
      <c r="G409" s="3" t="str">
        <f t="shared" si="75"/>
        <v> </v>
      </c>
      <c r="H409" s="32"/>
      <c r="I409" s="32">
        <f>$G$39-SUM($H$39:$H409)</f>
        <v>200000</v>
      </c>
      <c r="J409" s="68"/>
      <c r="K409" s="2" t="str">
        <f t="shared" si="76"/>
        <v> </v>
      </c>
      <c r="L409" s="2" t="str">
        <f t="shared" si="77"/>
        <v> </v>
      </c>
      <c r="M409" s="3" t="str">
        <f>IF(L409&lt;&gt;" ",IF(P408&lt;M408,P408+N409,PMT($O$27,($N$30),-$R408))," ")</f>
        <v> </v>
      </c>
      <c r="N409" s="3" t="str">
        <f t="shared" si="80"/>
        <v> </v>
      </c>
      <c r="O409" s="3" t="str">
        <f t="shared" si="71"/>
        <v> </v>
      </c>
      <c r="P409" s="3" t="str">
        <f t="shared" si="78"/>
        <v> </v>
      </c>
      <c r="Q409" s="32"/>
      <c r="R409" s="32">
        <f>$G$39-SUM($Q$39:$Q409)</f>
        <v>200000</v>
      </c>
    </row>
    <row r="410" spans="1:18" ht="12.75">
      <c r="A410" s="1">
        <f t="shared" si="82"/>
      </c>
      <c r="B410" s="2" t="str">
        <f t="shared" si="72"/>
        <v> </v>
      </c>
      <c r="C410" s="2" t="str">
        <f t="shared" si="73"/>
        <v> </v>
      </c>
      <c r="D410" s="3" t="str">
        <f t="shared" si="81"/>
        <v> </v>
      </c>
      <c r="E410" s="3" t="str">
        <f t="shared" si="79"/>
        <v> </v>
      </c>
      <c r="F410" s="3" t="str">
        <f t="shared" si="74"/>
        <v> </v>
      </c>
      <c r="G410" s="3" t="str">
        <f t="shared" si="75"/>
        <v> </v>
      </c>
      <c r="H410" s="32"/>
      <c r="I410" s="32">
        <f>$G$39-SUM($H$39:$H410)</f>
        <v>200000</v>
      </c>
      <c r="J410" s="68"/>
      <c r="K410" s="2" t="str">
        <f t="shared" si="76"/>
        <v> </v>
      </c>
      <c r="L410" s="2" t="str">
        <f t="shared" si="77"/>
        <v> </v>
      </c>
      <c r="M410" s="3" t="str">
        <f>IF(L410&lt;&gt;" ",IF(P409&lt;M409,P409+N410,PMT($O$27,($N$30),-$R409))," ")</f>
        <v> </v>
      </c>
      <c r="N410" s="3" t="str">
        <f t="shared" si="80"/>
        <v> </v>
      </c>
      <c r="O410" s="3" t="str">
        <f t="shared" si="71"/>
        <v> </v>
      </c>
      <c r="P410" s="3" t="str">
        <f t="shared" si="78"/>
        <v> </v>
      </c>
      <c r="Q410" s="32"/>
      <c r="R410" s="32">
        <f>$G$39-SUM($Q$39:$Q410)</f>
        <v>200000</v>
      </c>
    </row>
    <row r="411" spans="1:18" ht="12.75">
      <c r="A411" s="1">
        <f t="shared" si="82"/>
      </c>
      <c r="B411" s="2" t="str">
        <f t="shared" si="72"/>
        <v> </v>
      </c>
      <c r="C411" s="2" t="str">
        <f t="shared" si="73"/>
        <v> </v>
      </c>
      <c r="D411" s="3" t="str">
        <f t="shared" si="81"/>
        <v> </v>
      </c>
      <c r="E411" s="3" t="str">
        <f t="shared" si="79"/>
        <v> </v>
      </c>
      <c r="F411" s="3" t="str">
        <f t="shared" si="74"/>
        <v> </v>
      </c>
      <c r="G411" s="3" t="str">
        <f t="shared" si="75"/>
        <v> </v>
      </c>
      <c r="H411" s="32"/>
      <c r="I411" s="32">
        <f>$G$39-SUM($H$39:$H411)</f>
        <v>200000</v>
      </c>
      <c r="J411" s="68"/>
      <c r="K411" s="2" t="str">
        <f t="shared" si="76"/>
        <v> </v>
      </c>
      <c r="L411" s="2" t="str">
        <f t="shared" si="77"/>
        <v> </v>
      </c>
      <c r="M411" s="3" t="str">
        <f>IF(L411&lt;&gt;" ",IF(P410&lt;M410,P410+N411,PMT($O$27,($N$30),-$R410))," ")</f>
        <v> </v>
      </c>
      <c r="N411" s="3" t="str">
        <f t="shared" si="80"/>
        <v> </v>
      </c>
      <c r="O411" s="3" t="str">
        <f t="shared" si="71"/>
        <v> </v>
      </c>
      <c r="P411" s="3" t="str">
        <f t="shared" si="78"/>
        <v> </v>
      </c>
      <c r="Q411" s="32"/>
      <c r="R411" s="32">
        <f>$G$39-SUM($Q$39:$Q411)</f>
        <v>200000</v>
      </c>
    </row>
    <row r="412" spans="1:18" ht="12.75">
      <c r="A412" s="1">
        <f t="shared" si="82"/>
      </c>
      <c r="B412" s="2" t="str">
        <f t="shared" si="72"/>
        <v> </v>
      </c>
      <c r="C412" s="2" t="str">
        <f t="shared" si="73"/>
        <v> </v>
      </c>
      <c r="D412" s="3" t="str">
        <f t="shared" si="81"/>
        <v> </v>
      </c>
      <c r="E412" s="3" t="str">
        <f t="shared" si="79"/>
        <v> </v>
      </c>
      <c r="F412" s="3" t="str">
        <f t="shared" si="74"/>
        <v> </v>
      </c>
      <c r="G412" s="3" t="str">
        <f t="shared" si="75"/>
        <v> </v>
      </c>
      <c r="H412" s="32"/>
      <c r="I412" s="32">
        <f>$G$39-SUM($H$39:$H412)</f>
        <v>200000</v>
      </c>
      <c r="J412" s="68"/>
      <c r="K412" s="2" t="str">
        <f t="shared" si="76"/>
        <v> </v>
      </c>
      <c r="L412" s="2" t="str">
        <f t="shared" si="77"/>
        <v> </v>
      </c>
      <c r="M412" s="3" t="str">
        <f>IF(L412&lt;&gt;" ",IF(P411&lt;M411,P411+N412,PMT($O$27,($N$30),-$R411))," ")</f>
        <v> </v>
      </c>
      <c r="N412" s="3" t="str">
        <f t="shared" si="80"/>
        <v> </v>
      </c>
      <c r="O412" s="3" t="str">
        <f t="shared" si="71"/>
        <v> </v>
      </c>
      <c r="P412" s="3" t="str">
        <f t="shared" si="78"/>
        <v> </v>
      </c>
      <c r="Q412" s="32"/>
      <c r="R412" s="32">
        <f>$G$39-SUM($Q$39:$Q412)</f>
        <v>200000</v>
      </c>
    </row>
    <row r="413" spans="1:18" ht="12.75">
      <c r="A413" s="1">
        <f t="shared" si="82"/>
      </c>
      <c r="B413" s="2" t="str">
        <f t="shared" si="72"/>
        <v> </v>
      </c>
      <c r="C413" s="2" t="str">
        <f t="shared" si="73"/>
        <v> </v>
      </c>
      <c r="D413" s="3" t="str">
        <f t="shared" si="81"/>
        <v> </v>
      </c>
      <c r="E413" s="3" t="str">
        <f t="shared" si="79"/>
        <v> </v>
      </c>
      <c r="F413" s="3" t="str">
        <f t="shared" si="74"/>
        <v> </v>
      </c>
      <c r="G413" s="3" t="str">
        <f t="shared" si="75"/>
        <v> </v>
      </c>
      <c r="H413" s="32"/>
      <c r="I413" s="32">
        <f>$G$39-SUM($H$39:$H413)</f>
        <v>200000</v>
      </c>
      <c r="J413" s="68"/>
      <c r="K413" s="2" t="str">
        <f t="shared" si="76"/>
        <v> </v>
      </c>
      <c r="L413" s="2" t="str">
        <f t="shared" si="77"/>
        <v> </v>
      </c>
      <c r="M413" s="3" t="str">
        <f>IF(L413&lt;&gt;" ",IF(P412&lt;M412,P412+N413,PMT($O$27,($N$30),-$R412))," ")</f>
        <v> </v>
      </c>
      <c r="N413" s="3" t="str">
        <f t="shared" si="80"/>
        <v> </v>
      </c>
      <c r="O413" s="3" t="str">
        <f t="shared" si="71"/>
        <v> </v>
      </c>
      <c r="P413" s="3" t="str">
        <f t="shared" si="78"/>
        <v> </v>
      </c>
      <c r="Q413" s="32"/>
      <c r="R413" s="32">
        <f>$G$39-SUM($Q$39:$Q413)</f>
        <v>200000</v>
      </c>
    </row>
    <row r="414" spans="1:18" ht="12.75">
      <c r="A414" s="1">
        <f t="shared" si="82"/>
      </c>
      <c r="B414" s="2" t="str">
        <f t="shared" si="72"/>
        <v> </v>
      </c>
      <c r="C414" s="2" t="str">
        <f t="shared" si="73"/>
        <v> </v>
      </c>
      <c r="D414" s="3" t="str">
        <f t="shared" si="81"/>
        <v> </v>
      </c>
      <c r="E414" s="3" t="str">
        <f t="shared" si="79"/>
        <v> </v>
      </c>
      <c r="F414" s="3" t="str">
        <f t="shared" si="74"/>
        <v> </v>
      </c>
      <c r="G414" s="3" t="str">
        <f t="shared" si="75"/>
        <v> </v>
      </c>
      <c r="H414" s="32"/>
      <c r="I414" s="32">
        <f>$G$39-SUM($H$39:$H414)</f>
        <v>200000</v>
      </c>
      <c r="J414" s="68"/>
      <c r="K414" s="2" t="str">
        <f t="shared" si="76"/>
        <v> </v>
      </c>
      <c r="L414" s="2" t="str">
        <f t="shared" si="77"/>
        <v> </v>
      </c>
      <c r="M414" s="3" t="str">
        <f>IF(L414&lt;&gt;" ",IF(P413&lt;M413,P413+N414,PMT($O$27,($N$30),-$R413))," ")</f>
        <v> </v>
      </c>
      <c r="N414" s="3" t="str">
        <f t="shared" si="80"/>
        <v> </v>
      </c>
      <c r="O414" s="3" t="str">
        <f t="shared" si="71"/>
        <v> </v>
      </c>
      <c r="P414" s="3" t="str">
        <f t="shared" si="78"/>
        <v> </v>
      </c>
      <c r="Q414" s="32"/>
      <c r="R414" s="32">
        <f>$G$39-SUM($Q$39:$Q414)</f>
        <v>200000</v>
      </c>
    </row>
    <row r="415" spans="1:18" ht="12.75">
      <c r="A415" s="1">
        <f t="shared" si="82"/>
      </c>
      <c r="B415" s="2" t="str">
        <f t="shared" si="72"/>
        <v> </v>
      </c>
      <c r="C415" s="2" t="str">
        <f t="shared" si="73"/>
        <v> </v>
      </c>
      <c r="D415" s="3" t="str">
        <f t="shared" si="81"/>
        <v> </v>
      </c>
      <c r="E415" s="3" t="str">
        <f t="shared" si="79"/>
        <v> </v>
      </c>
      <c r="F415" s="3" t="str">
        <f t="shared" si="74"/>
        <v> </v>
      </c>
      <c r="G415" s="3" t="str">
        <f t="shared" si="75"/>
        <v> </v>
      </c>
      <c r="H415" s="32"/>
      <c r="I415" s="32">
        <f>$G$39-SUM($H$39:$H415)</f>
        <v>200000</v>
      </c>
      <c r="J415" s="68"/>
      <c r="K415" s="2" t="str">
        <f t="shared" si="76"/>
        <v> </v>
      </c>
      <c r="L415" s="2" t="str">
        <f t="shared" si="77"/>
        <v> </v>
      </c>
      <c r="M415" s="3" t="str">
        <f>IF(L415&lt;&gt;" ",IF(P414&lt;M414,P414+N415,PMT($O$27,($N$30),-$R414))," ")</f>
        <v> </v>
      </c>
      <c r="N415" s="3" t="str">
        <f t="shared" si="80"/>
        <v> </v>
      </c>
      <c r="O415" s="3" t="str">
        <f t="shared" si="71"/>
        <v> </v>
      </c>
      <c r="P415" s="3" t="str">
        <f t="shared" si="78"/>
        <v> </v>
      </c>
      <c r="Q415" s="32"/>
      <c r="R415" s="32">
        <f>$G$39-SUM($Q$39:$Q415)</f>
        <v>200000</v>
      </c>
    </row>
    <row r="416" spans="1:18" ht="12.75">
      <c r="A416" s="1">
        <f t="shared" si="82"/>
      </c>
      <c r="B416" s="2" t="str">
        <f t="shared" si="72"/>
        <v> </v>
      </c>
      <c r="C416" s="2" t="str">
        <f t="shared" si="73"/>
        <v> </v>
      </c>
      <c r="D416" s="3" t="str">
        <f t="shared" si="81"/>
        <v> </v>
      </c>
      <c r="E416" s="3" t="str">
        <f t="shared" si="79"/>
        <v> </v>
      </c>
      <c r="F416" s="3" t="str">
        <f t="shared" si="74"/>
        <v> </v>
      </c>
      <c r="G416" s="3" t="str">
        <f t="shared" si="75"/>
        <v> </v>
      </c>
      <c r="H416" s="32"/>
      <c r="I416" s="32">
        <f>$G$39-SUM($H$39:$H416)</f>
        <v>200000</v>
      </c>
      <c r="J416" s="68"/>
      <c r="K416" s="2" t="str">
        <f t="shared" si="76"/>
        <v> </v>
      </c>
      <c r="L416" s="2" t="str">
        <f t="shared" si="77"/>
        <v> </v>
      </c>
      <c r="M416" s="3" t="str">
        <f>IF(L416&lt;&gt;" ",IF(P415&lt;M415,P415+N416,PMT($O$27,($N$30),-$R415))," ")</f>
        <v> </v>
      </c>
      <c r="N416" s="3" t="str">
        <f t="shared" si="80"/>
        <v> </v>
      </c>
      <c r="O416" s="3" t="str">
        <f t="shared" si="71"/>
        <v> </v>
      </c>
      <c r="P416" s="3" t="str">
        <f t="shared" si="78"/>
        <v> </v>
      </c>
      <c r="Q416" s="32"/>
      <c r="R416" s="32">
        <f>$G$39-SUM($Q$39:$Q416)</f>
        <v>200000</v>
      </c>
    </row>
    <row r="417" spans="1:18" ht="12.75">
      <c r="A417" s="1">
        <f t="shared" si="82"/>
      </c>
      <c r="B417" s="2" t="str">
        <f t="shared" si="72"/>
        <v> </v>
      </c>
      <c r="C417" s="2" t="str">
        <f t="shared" si="73"/>
        <v> </v>
      </c>
      <c r="D417" s="3" t="str">
        <f t="shared" si="81"/>
        <v> </v>
      </c>
      <c r="E417" s="3" t="str">
        <f t="shared" si="79"/>
        <v> </v>
      </c>
      <c r="F417" s="3" t="str">
        <f t="shared" si="74"/>
        <v> </v>
      </c>
      <c r="G417" s="3" t="str">
        <f t="shared" si="75"/>
        <v> </v>
      </c>
      <c r="H417" s="32"/>
      <c r="I417" s="32">
        <f>$G$39-SUM($H$39:$H417)</f>
        <v>200000</v>
      </c>
      <c r="J417" s="68"/>
      <c r="K417" s="2" t="str">
        <f t="shared" si="76"/>
        <v> </v>
      </c>
      <c r="L417" s="2" t="str">
        <f t="shared" si="77"/>
        <v> </v>
      </c>
      <c r="M417" s="3" t="str">
        <f>IF(L417&lt;&gt;" ",IF(P416&lt;M416,P416+N417,PMT($O$27,($N$30),-$R416))," ")</f>
        <v> </v>
      </c>
      <c r="N417" s="3" t="str">
        <f t="shared" si="80"/>
        <v> </v>
      </c>
      <c r="O417" s="3" t="str">
        <f t="shared" si="71"/>
        <v> </v>
      </c>
      <c r="P417" s="3" t="str">
        <f t="shared" si="78"/>
        <v> </v>
      </c>
      <c r="Q417" s="32"/>
      <c r="R417" s="32">
        <f>$G$39-SUM($Q$39:$Q417)</f>
        <v>200000</v>
      </c>
    </row>
    <row r="418" spans="1:18" ht="12.75">
      <c r="A418" s="1">
        <f t="shared" si="82"/>
      </c>
      <c r="B418" s="2" t="str">
        <f t="shared" si="72"/>
        <v> </v>
      </c>
      <c r="C418" s="2" t="str">
        <f t="shared" si="73"/>
        <v> </v>
      </c>
      <c r="D418" s="3" t="str">
        <f t="shared" si="81"/>
        <v> </v>
      </c>
      <c r="E418" s="3" t="str">
        <f t="shared" si="79"/>
        <v> </v>
      </c>
      <c r="F418" s="3" t="str">
        <f t="shared" si="74"/>
        <v> </v>
      </c>
      <c r="G418" s="3" t="str">
        <f t="shared" si="75"/>
        <v> </v>
      </c>
      <c r="H418" s="32"/>
      <c r="I418" s="32">
        <f>$G$39-SUM($H$39:$H418)</f>
        <v>200000</v>
      </c>
      <c r="J418" s="68"/>
      <c r="K418" s="2" t="str">
        <f t="shared" si="76"/>
        <v> </v>
      </c>
      <c r="L418" s="2" t="str">
        <f t="shared" si="77"/>
        <v> </v>
      </c>
      <c r="M418" s="3" t="str">
        <f>IF(L418&lt;&gt;" ",IF(P417&lt;M417,P417+N418,PMT($O$27,($N$30),-$R417))," ")</f>
        <v> </v>
      </c>
      <c r="N418" s="3" t="str">
        <f t="shared" si="80"/>
        <v> </v>
      </c>
      <c r="O418" s="3" t="str">
        <f t="shared" si="71"/>
        <v> </v>
      </c>
      <c r="P418" s="3" t="str">
        <f t="shared" si="78"/>
        <v> </v>
      </c>
      <c r="Q418" s="32"/>
      <c r="R418" s="32">
        <f>$G$39-SUM($Q$39:$Q418)</f>
        <v>200000</v>
      </c>
    </row>
    <row r="419" spans="1:18" ht="12.75">
      <c r="A419" s="1">
        <f t="shared" si="82"/>
      </c>
      <c r="B419" s="2" t="str">
        <f t="shared" si="72"/>
        <v> </v>
      </c>
      <c r="C419" s="2" t="str">
        <f t="shared" si="73"/>
        <v> </v>
      </c>
      <c r="D419" s="3" t="str">
        <f t="shared" si="81"/>
        <v> </v>
      </c>
      <c r="E419" s="3" t="str">
        <f t="shared" si="79"/>
        <v> </v>
      </c>
      <c r="F419" s="3" t="str">
        <f t="shared" si="74"/>
        <v> </v>
      </c>
      <c r="G419" s="3" t="str">
        <f t="shared" si="75"/>
        <v> </v>
      </c>
      <c r="H419" s="32"/>
      <c r="I419" s="32">
        <f>$G$39-SUM($H$39:$H419)</f>
        <v>200000</v>
      </c>
      <c r="J419" s="68"/>
      <c r="K419" s="2" t="str">
        <f t="shared" si="76"/>
        <v> </v>
      </c>
      <c r="L419" s="2" t="str">
        <f t="shared" si="77"/>
        <v> </v>
      </c>
      <c r="M419" s="3" t="str">
        <f>IF(L419&lt;&gt;" ",IF(P418&lt;M418,P418+N419,PMT($O$27,($N$30),-$R418))," ")</f>
        <v> </v>
      </c>
      <c r="N419" s="3" t="str">
        <f t="shared" si="80"/>
        <v> </v>
      </c>
      <c r="O419" s="3" t="str">
        <f t="shared" si="71"/>
        <v> </v>
      </c>
      <c r="P419" s="3" t="str">
        <f t="shared" si="78"/>
        <v> </v>
      </c>
      <c r="Q419" s="32"/>
      <c r="R419" s="32">
        <f>$G$39-SUM($Q$39:$Q419)</f>
        <v>200000</v>
      </c>
    </row>
    <row r="420" spans="1:18" ht="12.75">
      <c r="A420" s="1">
        <f t="shared" si="82"/>
      </c>
      <c r="B420" s="2" t="str">
        <f t="shared" si="72"/>
        <v> </v>
      </c>
      <c r="C420" s="2" t="str">
        <f t="shared" si="73"/>
        <v> </v>
      </c>
      <c r="D420" s="3" t="str">
        <f t="shared" si="81"/>
        <v> </v>
      </c>
      <c r="E420" s="3" t="str">
        <f t="shared" si="79"/>
        <v> </v>
      </c>
      <c r="F420" s="3" t="str">
        <f t="shared" si="74"/>
        <v> </v>
      </c>
      <c r="G420" s="3" t="str">
        <f t="shared" si="75"/>
        <v> </v>
      </c>
      <c r="H420" s="32"/>
      <c r="I420" s="32">
        <f>$G$39-SUM($H$39:$H420)</f>
        <v>200000</v>
      </c>
      <c r="J420" s="68"/>
      <c r="K420" s="2" t="str">
        <f t="shared" si="76"/>
        <v> </v>
      </c>
      <c r="L420" s="2" t="str">
        <f t="shared" si="77"/>
        <v> </v>
      </c>
      <c r="M420" s="3" t="str">
        <f>IF(L420&lt;&gt;" ",IF(P419&lt;M419,P419+N420,PMT($O$27,($N$30),-$R419))," ")</f>
        <v> </v>
      </c>
      <c r="N420" s="3" t="str">
        <f t="shared" si="80"/>
        <v> </v>
      </c>
      <c r="O420" s="3" t="str">
        <f t="shared" si="71"/>
        <v> </v>
      </c>
      <c r="P420" s="3" t="str">
        <f t="shared" si="78"/>
        <v> </v>
      </c>
      <c r="Q420" s="32"/>
      <c r="R420" s="32">
        <f>$G$39-SUM($Q$39:$Q420)</f>
        <v>200000</v>
      </c>
    </row>
    <row r="421" spans="1:18" ht="12.75">
      <c r="A421" s="1">
        <f t="shared" si="82"/>
      </c>
      <c r="B421" s="2" t="str">
        <f t="shared" si="72"/>
        <v> </v>
      </c>
      <c r="C421" s="2" t="str">
        <f t="shared" si="73"/>
        <v> </v>
      </c>
      <c r="D421" s="3" t="str">
        <f t="shared" si="81"/>
        <v> </v>
      </c>
      <c r="E421" s="3" t="str">
        <f t="shared" si="79"/>
        <v> </v>
      </c>
      <c r="F421" s="3" t="str">
        <f t="shared" si="74"/>
        <v> </v>
      </c>
      <c r="G421" s="3" t="str">
        <f t="shared" si="75"/>
        <v> </v>
      </c>
      <c r="H421" s="32"/>
      <c r="I421" s="32">
        <f>$G$39-SUM($H$39:$H421)</f>
        <v>200000</v>
      </c>
      <c r="J421" s="68"/>
      <c r="K421" s="2" t="str">
        <f t="shared" si="76"/>
        <v> </v>
      </c>
      <c r="L421" s="2" t="str">
        <f t="shared" si="77"/>
        <v> </v>
      </c>
      <c r="M421" s="3" t="str">
        <f>IF(L421&lt;&gt;" ",IF(P420&lt;M420,P420+N421,PMT($O$27,($N$30),-$R420))," ")</f>
        <v> </v>
      </c>
      <c r="N421" s="3" t="str">
        <f t="shared" si="80"/>
        <v> </v>
      </c>
      <c r="O421" s="3" t="str">
        <f t="shared" si="71"/>
        <v> </v>
      </c>
      <c r="P421" s="3" t="str">
        <f t="shared" si="78"/>
        <v> </v>
      </c>
      <c r="Q421" s="32"/>
      <c r="R421" s="32">
        <f>$G$39-SUM($Q$39:$Q421)</f>
        <v>200000</v>
      </c>
    </row>
    <row r="422" spans="1:18" ht="12.75">
      <c r="A422" s="1">
        <f t="shared" si="82"/>
      </c>
      <c r="B422" s="2" t="str">
        <f t="shared" si="72"/>
        <v> </v>
      </c>
      <c r="C422" s="2" t="str">
        <f t="shared" si="73"/>
        <v> </v>
      </c>
      <c r="D422" s="3" t="str">
        <f t="shared" si="81"/>
        <v> </v>
      </c>
      <c r="E422" s="3" t="str">
        <f t="shared" si="79"/>
        <v> </v>
      </c>
      <c r="F422" s="3" t="str">
        <f t="shared" si="74"/>
        <v> </v>
      </c>
      <c r="G422" s="3" t="str">
        <f t="shared" si="75"/>
        <v> </v>
      </c>
      <c r="H422" s="32"/>
      <c r="I422" s="32">
        <f>$G$39-SUM($H$39:$H422)</f>
        <v>200000</v>
      </c>
      <c r="J422" s="68"/>
      <c r="K422" s="2" t="str">
        <f t="shared" si="76"/>
        <v> </v>
      </c>
      <c r="L422" s="2" t="str">
        <f t="shared" si="77"/>
        <v> </v>
      </c>
      <c r="M422" s="3" t="str">
        <f>IF(L422&lt;&gt;" ",IF(P421&lt;M421,P421+N422,PMT($O$27,($N$30),-$R421))," ")</f>
        <v> </v>
      </c>
      <c r="N422" s="3" t="str">
        <f t="shared" si="80"/>
        <v> </v>
      </c>
      <c r="O422" s="3" t="str">
        <f t="shared" si="71"/>
        <v> </v>
      </c>
      <c r="P422" s="3" t="str">
        <f t="shared" si="78"/>
        <v> </v>
      </c>
      <c r="Q422" s="32"/>
      <c r="R422" s="32">
        <f>$G$39-SUM($Q$39:$Q422)</f>
        <v>200000</v>
      </c>
    </row>
    <row r="423" spans="1:18" ht="12.75">
      <c r="A423" s="1">
        <f t="shared" si="82"/>
      </c>
      <c r="B423" s="2" t="str">
        <f t="shared" si="72"/>
        <v> </v>
      </c>
      <c r="C423" s="2" t="str">
        <f t="shared" si="73"/>
        <v> </v>
      </c>
      <c r="D423" s="3" t="str">
        <f t="shared" si="81"/>
        <v> </v>
      </c>
      <c r="E423" s="3" t="str">
        <f t="shared" si="79"/>
        <v> </v>
      </c>
      <c r="F423" s="3" t="str">
        <f t="shared" si="74"/>
        <v> </v>
      </c>
      <c r="G423" s="3" t="str">
        <f t="shared" si="75"/>
        <v> </v>
      </c>
      <c r="H423" s="32"/>
      <c r="I423" s="32">
        <f>$G$39-SUM($H$39:$H423)</f>
        <v>200000</v>
      </c>
      <c r="J423" s="68"/>
      <c r="K423" s="2" t="str">
        <f t="shared" si="76"/>
        <v> </v>
      </c>
      <c r="L423" s="2" t="str">
        <f t="shared" si="77"/>
        <v> </v>
      </c>
      <c r="M423" s="3" t="str">
        <f>IF(L423&lt;&gt;" ",IF(P422&lt;M422,P422+N423,PMT($O$27,($N$30),-$R422))," ")</f>
        <v> </v>
      </c>
      <c r="N423" s="3" t="str">
        <f t="shared" si="80"/>
        <v> </v>
      </c>
      <c r="O423" s="3" t="str">
        <f t="shared" si="71"/>
        <v> </v>
      </c>
      <c r="P423" s="3" t="str">
        <f t="shared" si="78"/>
        <v> </v>
      </c>
      <c r="Q423" s="32"/>
      <c r="R423" s="32">
        <f>$G$39-SUM($Q$39:$Q423)</f>
        <v>200000</v>
      </c>
    </row>
    <row r="424" spans="1:18" ht="12.75">
      <c r="A424" s="1">
        <f t="shared" si="82"/>
      </c>
      <c r="B424" s="2" t="str">
        <f t="shared" si="72"/>
        <v> </v>
      </c>
      <c r="C424" s="2" t="str">
        <f t="shared" si="73"/>
        <v> </v>
      </c>
      <c r="D424" s="3" t="str">
        <f t="shared" si="81"/>
        <v> </v>
      </c>
      <c r="E424" s="3" t="str">
        <f t="shared" si="79"/>
        <v> </v>
      </c>
      <c r="F424" s="3" t="str">
        <f t="shared" si="74"/>
        <v> </v>
      </c>
      <c r="G424" s="3" t="str">
        <f t="shared" si="75"/>
        <v> </v>
      </c>
      <c r="H424" s="32"/>
      <c r="I424" s="32">
        <f>$G$39-SUM($H$39:$H424)</f>
        <v>200000</v>
      </c>
      <c r="J424" s="68"/>
      <c r="K424" s="2" t="str">
        <f t="shared" si="76"/>
        <v> </v>
      </c>
      <c r="L424" s="2" t="str">
        <f t="shared" si="77"/>
        <v> </v>
      </c>
      <c r="M424" s="3" t="str">
        <f>IF(L424&lt;&gt;" ",IF(P423&lt;M423,P423+N424,PMT($O$27,($N$30),-$R423))," ")</f>
        <v> </v>
      </c>
      <c r="N424" s="3" t="str">
        <f t="shared" si="80"/>
        <v> </v>
      </c>
      <c r="O424" s="3" t="str">
        <f t="shared" si="71"/>
        <v> </v>
      </c>
      <c r="P424" s="3" t="str">
        <f t="shared" si="78"/>
        <v> </v>
      </c>
      <c r="Q424" s="32"/>
      <c r="R424" s="32">
        <f>$G$39-SUM($Q$39:$Q424)</f>
        <v>200000</v>
      </c>
    </row>
    <row r="425" spans="1:18" ht="12.75">
      <c r="A425" s="1">
        <f t="shared" si="82"/>
      </c>
      <c r="B425" s="2" t="str">
        <f t="shared" si="72"/>
        <v> </v>
      </c>
      <c r="C425" s="2" t="str">
        <f t="shared" si="73"/>
        <v> </v>
      </c>
      <c r="D425" s="3" t="str">
        <f t="shared" si="81"/>
        <v> </v>
      </c>
      <c r="E425" s="3" t="str">
        <f t="shared" si="79"/>
        <v> </v>
      </c>
      <c r="F425" s="3" t="str">
        <f t="shared" si="74"/>
        <v> </v>
      </c>
      <c r="G425" s="3" t="str">
        <f t="shared" si="75"/>
        <v> </v>
      </c>
      <c r="H425" s="32"/>
      <c r="I425" s="32">
        <f>$G$39-SUM($H$39:$H425)</f>
        <v>200000</v>
      </c>
      <c r="J425" s="68"/>
      <c r="K425" s="2" t="str">
        <f t="shared" si="76"/>
        <v> </v>
      </c>
      <c r="L425" s="2" t="str">
        <f t="shared" si="77"/>
        <v> </v>
      </c>
      <c r="M425" s="3" t="str">
        <f>IF(L425&lt;&gt;" ",IF(P424&lt;M424,P424+N425,PMT($O$27,($N$30),-$R424))," ")</f>
        <v> </v>
      </c>
      <c r="N425" s="3" t="str">
        <f t="shared" si="80"/>
        <v> </v>
      </c>
      <c r="O425" s="3" t="str">
        <f aca="true" t="shared" si="83" ref="O425:O464">IF(L425&lt;&gt;" ",M425-N425+Q425," ")</f>
        <v> </v>
      </c>
      <c r="P425" s="3" t="str">
        <f t="shared" si="78"/>
        <v> </v>
      </c>
      <c r="Q425" s="32"/>
      <c r="R425" s="32">
        <f>$G$39-SUM($Q$39:$Q425)</f>
        <v>200000</v>
      </c>
    </row>
    <row r="426" spans="1:18" ht="12.75">
      <c r="A426" s="1">
        <f t="shared" si="82"/>
      </c>
      <c r="B426" s="2" t="str">
        <f t="shared" si="72"/>
        <v> </v>
      </c>
      <c r="C426" s="2" t="str">
        <f t="shared" si="73"/>
        <v> </v>
      </c>
      <c r="D426" s="3" t="str">
        <f t="shared" si="81"/>
        <v> </v>
      </c>
      <c r="E426" s="3" t="str">
        <f t="shared" si="79"/>
        <v> </v>
      </c>
      <c r="F426" s="3" t="str">
        <f t="shared" si="74"/>
        <v> </v>
      </c>
      <c r="G426" s="3" t="str">
        <f t="shared" si="75"/>
        <v> </v>
      </c>
      <c r="H426" s="32"/>
      <c r="I426" s="32">
        <f>$G$39-SUM($H$39:$H426)</f>
        <v>200000</v>
      </c>
      <c r="J426" s="68"/>
      <c r="K426" s="2" t="str">
        <f t="shared" si="76"/>
        <v> </v>
      </c>
      <c r="L426" s="2" t="str">
        <f t="shared" si="77"/>
        <v> </v>
      </c>
      <c r="M426" s="3" t="str">
        <f>IF(L426&lt;&gt;" ",IF(P425&lt;M425,P425+N426,PMT($O$27,($N$30),-$R425))," ")</f>
        <v> </v>
      </c>
      <c r="N426" s="3" t="str">
        <f t="shared" si="80"/>
        <v> </v>
      </c>
      <c r="O426" s="3" t="str">
        <f t="shared" si="83"/>
        <v> </v>
      </c>
      <c r="P426" s="3" t="str">
        <f t="shared" si="78"/>
        <v> </v>
      </c>
      <c r="Q426" s="32"/>
      <c r="R426" s="32">
        <f>$G$39-SUM($Q$39:$Q426)</f>
        <v>200000</v>
      </c>
    </row>
    <row r="427" spans="1:18" ht="12.75">
      <c r="A427" s="1">
        <f t="shared" si="82"/>
      </c>
      <c r="B427" s="2" t="str">
        <f t="shared" si="72"/>
        <v> </v>
      </c>
      <c r="C427" s="2" t="str">
        <f t="shared" si="73"/>
        <v> </v>
      </c>
      <c r="D427" s="3" t="str">
        <f t="shared" si="81"/>
        <v> </v>
      </c>
      <c r="E427" s="3" t="str">
        <f t="shared" si="79"/>
        <v> </v>
      </c>
      <c r="F427" s="3" t="str">
        <f t="shared" si="74"/>
        <v> </v>
      </c>
      <c r="G427" s="3" t="str">
        <f t="shared" si="75"/>
        <v> </v>
      </c>
      <c r="H427" s="32"/>
      <c r="I427" s="32">
        <f>$G$39-SUM($H$39:$H427)</f>
        <v>200000</v>
      </c>
      <c r="J427" s="68"/>
      <c r="K427" s="2" t="str">
        <f t="shared" si="76"/>
        <v> </v>
      </c>
      <c r="L427" s="2" t="str">
        <f t="shared" si="77"/>
        <v> </v>
      </c>
      <c r="M427" s="3" t="str">
        <f>IF(L427&lt;&gt;" ",IF(P426&lt;M426,P426+N427,PMT($O$27,($N$30),-$R426))," ")</f>
        <v> </v>
      </c>
      <c r="N427" s="3" t="str">
        <f t="shared" si="80"/>
        <v> </v>
      </c>
      <c r="O427" s="3" t="str">
        <f t="shared" si="83"/>
        <v> </v>
      </c>
      <c r="P427" s="3" t="str">
        <f t="shared" si="78"/>
        <v> </v>
      </c>
      <c r="Q427" s="32"/>
      <c r="R427" s="32">
        <f>$G$39-SUM($Q$39:$Q427)</f>
        <v>200000</v>
      </c>
    </row>
    <row r="428" spans="1:18" ht="12.75">
      <c r="A428" s="1">
        <f t="shared" si="82"/>
      </c>
      <c r="B428" s="2" t="str">
        <f t="shared" si="72"/>
        <v> </v>
      </c>
      <c r="C428" s="2" t="str">
        <f t="shared" si="73"/>
        <v> </v>
      </c>
      <c r="D428" s="3" t="str">
        <f t="shared" si="81"/>
        <v> </v>
      </c>
      <c r="E428" s="3" t="str">
        <f t="shared" si="79"/>
        <v> </v>
      </c>
      <c r="F428" s="3" t="str">
        <f t="shared" si="74"/>
        <v> </v>
      </c>
      <c r="G428" s="3" t="str">
        <f t="shared" si="75"/>
        <v> </v>
      </c>
      <c r="H428" s="32"/>
      <c r="I428" s="32">
        <f>$G$39-SUM($H$39:$H428)</f>
        <v>200000</v>
      </c>
      <c r="J428" s="68"/>
      <c r="K428" s="2" t="str">
        <f t="shared" si="76"/>
        <v> </v>
      </c>
      <c r="L428" s="2" t="str">
        <f t="shared" si="77"/>
        <v> </v>
      </c>
      <c r="M428" s="3" t="str">
        <f>IF(L428&lt;&gt;" ",IF(P427&lt;M427,P427+N428,PMT($O$27,($N$30),-$R427))," ")</f>
        <v> </v>
      </c>
      <c r="N428" s="3" t="str">
        <f t="shared" si="80"/>
        <v> </v>
      </c>
      <c r="O428" s="3" t="str">
        <f t="shared" si="83"/>
        <v> </v>
      </c>
      <c r="P428" s="3" t="str">
        <f t="shared" si="78"/>
        <v> </v>
      </c>
      <c r="Q428" s="32"/>
      <c r="R428" s="32">
        <f>$G$39-SUM($Q$39:$Q428)</f>
        <v>200000</v>
      </c>
    </row>
    <row r="429" spans="1:18" ht="12.75">
      <c r="A429" s="1">
        <f t="shared" si="82"/>
      </c>
      <c r="B429" s="2" t="str">
        <f t="shared" si="72"/>
        <v> </v>
      </c>
      <c r="C429" s="2" t="str">
        <f t="shared" si="73"/>
        <v> </v>
      </c>
      <c r="D429" s="3" t="str">
        <f t="shared" si="81"/>
        <v> </v>
      </c>
      <c r="E429" s="3" t="str">
        <f t="shared" si="79"/>
        <v> </v>
      </c>
      <c r="F429" s="3" t="str">
        <f t="shared" si="74"/>
        <v> </v>
      </c>
      <c r="G429" s="3" t="str">
        <f t="shared" si="75"/>
        <v> </v>
      </c>
      <c r="H429" s="32"/>
      <c r="I429" s="32">
        <f>$G$39-SUM($H$39:$H429)</f>
        <v>200000</v>
      </c>
      <c r="J429" s="68"/>
      <c r="K429" s="2" t="str">
        <f t="shared" si="76"/>
        <v> </v>
      </c>
      <c r="L429" s="2" t="str">
        <f t="shared" si="77"/>
        <v> </v>
      </c>
      <c r="M429" s="3" t="str">
        <f>IF(L429&lt;&gt;" ",IF(P428&lt;M428,P428+N429,PMT($O$27,($N$30),-$R428))," ")</f>
        <v> </v>
      </c>
      <c r="N429" s="3" t="str">
        <f t="shared" si="80"/>
        <v> </v>
      </c>
      <c r="O429" s="3" t="str">
        <f t="shared" si="83"/>
        <v> </v>
      </c>
      <c r="P429" s="3" t="str">
        <f t="shared" si="78"/>
        <v> </v>
      </c>
      <c r="Q429" s="32"/>
      <c r="R429" s="32">
        <f>$G$39-SUM($Q$39:$Q429)</f>
        <v>200000</v>
      </c>
    </row>
    <row r="430" spans="1:18" ht="12.75">
      <c r="A430" s="1">
        <f t="shared" si="82"/>
      </c>
      <c r="B430" s="2" t="str">
        <f t="shared" si="72"/>
        <v> </v>
      </c>
      <c r="C430" s="2" t="str">
        <f t="shared" si="73"/>
        <v> </v>
      </c>
      <c r="D430" s="3" t="str">
        <f t="shared" si="81"/>
        <v> </v>
      </c>
      <c r="E430" s="3" t="str">
        <f t="shared" si="79"/>
        <v> </v>
      </c>
      <c r="F430" s="3" t="str">
        <f t="shared" si="74"/>
        <v> </v>
      </c>
      <c r="G430" s="3" t="str">
        <f t="shared" si="75"/>
        <v> </v>
      </c>
      <c r="H430" s="32"/>
      <c r="I430" s="32">
        <f>$G$39-SUM($H$39:$H430)</f>
        <v>200000</v>
      </c>
      <c r="J430" s="68"/>
      <c r="K430" s="2" t="str">
        <f t="shared" si="76"/>
        <v> </v>
      </c>
      <c r="L430" s="2" t="str">
        <f t="shared" si="77"/>
        <v> </v>
      </c>
      <c r="M430" s="3" t="str">
        <f>IF(L430&lt;&gt;" ",IF(P429&lt;M429,P429+N430,PMT($O$27,($N$30),-$R429))," ")</f>
        <v> </v>
      </c>
      <c r="N430" s="3" t="str">
        <f t="shared" si="80"/>
        <v> </v>
      </c>
      <c r="O430" s="3" t="str">
        <f t="shared" si="83"/>
        <v> </v>
      </c>
      <c r="P430" s="3" t="str">
        <f t="shared" si="78"/>
        <v> </v>
      </c>
      <c r="Q430" s="32"/>
      <c r="R430" s="32">
        <f>$G$39-SUM($Q$39:$Q430)</f>
        <v>200000</v>
      </c>
    </row>
    <row r="431" spans="1:18" ht="12.75">
      <c r="A431" s="1">
        <f t="shared" si="82"/>
      </c>
      <c r="B431" s="2" t="str">
        <f t="shared" si="72"/>
        <v> </v>
      </c>
      <c r="C431" s="2" t="str">
        <f t="shared" si="73"/>
        <v> </v>
      </c>
      <c r="D431" s="3" t="str">
        <f t="shared" si="81"/>
        <v> </v>
      </c>
      <c r="E431" s="3" t="str">
        <f t="shared" si="79"/>
        <v> </v>
      </c>
      <c r="F431" s="3" t="str">
        <f t="shared" si="74"/>
        <v> </v>
      </c>
      <c r="G431" s="3" t="str">
        <f t="shared" si="75"/>
        <v> </v>
      </c>
      <c r="H431" s="32"/>
      <c r="I431" s="32">
        <f>$G$39-SUM($H$39:$H431)</f>
        <v>200000</v>
      </c>
      <c r="J431" s="68"/>
      <c r="K431" s="2" t="str">
        <f t="shared" si="76"/>
        <v> </v>
      </c>
      <c r="L431" s="2" t="str">
        <f t="shared" si="77"/>
        <v> </v>
      </c>
      <c r="M431" s="3" t="str">
        <f>IF(L431&lt;&gt;" ",IF(P430&lt;M430,P430+N431,PMT($O$27,($N$30),-$R430))," ")</f>
        <v> </v>
      </c>
      <c r="N431" s="3" t="str">
        <f t="shared" si="80"/>
        <v> </v>
      </c>
      <c r="O431" s="3" t="str">
        <f t="shared" si="83"/>
        <v> </v>
      </c>
      <c r="P431" s="3" t="str">
        <f t="shared" si="78"/>
        <v> </v>
      </c>
      <c r="Q431" s="32"/>
      <c r="R431" s="32">
        <f>$G$39-SUM($Q$39:$Q431)</f>
        <v>200000</v>
      </c>
    </row>
    <row r="432" spans="1:18" ht="12.75">
      <c r="A432" s="1">
        <f t="shared" si="82"/>
      </c>
      <c r="B432" s="2" t="str">
        <f t="shared" si="72"/>
        <v> </v>
      </c>
      <c r="C432" s="2" t="str">
        <f t="shared" si="73"/>
        <v> </v>
      </c>
      <c r="D432" s="3" t="str">
        <f t="shared" si="81"/>
        <v> </v>
      </c>
      <c r="E432" s="3" t="str">
        <f t="shared" si="79"/>
        <v> </v>
      </c>
      <c r="F432" s="3" t="str">
        <f t="shared" si="74"/>
        <v> </v>
      </c>
      <c r="G432" s="3" t="str">
        <f t="shared" si="75"/>
        <v> </v>
      </c>
      <c r="H432" s="32"/>
      <c r="I432" s="32">
        <f>$G$39-SUM($H$39:$H432)</f>
        <v>200000</v>
      </c>
      <c r="J432" s="68"/>
      <c r="K432" s="2" t="str">
        <f t="shared" si="76"/>
        <v> </v>
      </c>
      <c r="L432" s="2" t="str">
        <f t="shared" si="77"/>
        <v> </v>
      </c>
      <c r="M432" s="3" t="str">
        <f>IF(L432&lt;&gt;" ",IF(P431&lt;M431,P431+N432,PMT($O$27,($N$30),-$R431))," ")</f>
        <v> </v>
      </c>
      <c r="N432" s="3" t="str">
        <f t="shared" si="80"/>
        <v> </v>
      </c>
      <c r="O432" s="3" t="str">
        <f t="shared" si="83"/>
        <v> </v>
      </c>
      <c r="P432" s="3" t="str">
        <f t="shared" si="78"/>
        <v> </v>
      </c>
      <c r="Q432" s="32"/>
      <c r="R432" s="32">
        <f>$G$39-SUM($Q$39:$Q432)</f>
        <v>200000</v>
      </c>
    </row>
    <row r="433" spans="1:18" ht="12.75">
      <c r="A433" s="1">
        <f t="shared" si="82"/>
      </c>
      <c r="B433" s="2" t="str">
        <f t="shared" si="72"/>
        <v> </v>
      </c>
      <c r="C433" s="2" t="str">
        <f t="shared" si="73"/>
        <v> </v>
      </c>
      <c r="D433" s="3" t="str">
        <f t="shared" si="81"/>
        <v> </v>
      </c>
      <c r="E433" s="3" t="str">
        <f t="shared" si="79"/>
        <v> </v>
      </c>
      <c r="F433" s="3" t="str">
        <f t="shared" si="74"/>
        <v> </v>
      </c>
      <c r="G433" s="3" t="str">
        <f t="shared" si="75"/>
        <v> </v>
      </c>
      <c r="H433" s="32"/>
      <c r="I433" s="32">
        <f>$G$39-SUM($H$39:$H433)</f>
        <v>200000</v>
      </c>
      <c r="J433" s="68"/>
      <c r="K433" s="2" t="str">
        <f t="shared" si="76"/>
        <v> </v>
      </c>
      <c r="L433" s="2" t="str">
        <f t="shared" si="77"/>
        <v> </v>
      </c>
      <c r="M433" s="3" t="str">
        <f>IF(L433&lt;&gt;" ",IF(P432&lt;M432,P432+N433,PMT($O$27,($N$30),-$R432))," ")</f>
        <v> </v>
      </c>
      <c r="N433" s="3" t="str">
        <f t="shared" si="80"/>
        <v> </v>
      </c>
      <c r="O433" s="3" t="str">
        <f t="shared" si="83"/>
        <v> </v>
      </c>
      <c r="P433" s="3" t="str">
        <f t="shared" si="78"/>
        <v> </v>
      </c>
      <c r="Q433" s="32"/>
      <c r="R433" s="32">
        <f>$G$39-SUM($Q$39:$Q433)</f>
        <v>200000</v>
      </c>
    </row>
    <row r="434" spans="1:18" ht="12.75">
      <c r="A434" s="1">
        <f t="shared" si="82"/>
      </c>
      <c r="B434" s="2" t="str">
        <f aca="true" t="shared" si="84" ref="B434:B497">IF(C434&lt;&gt;" ",INT(C433/12)+1," ")</f>
        <v> </v>
      </c>
      <c r="C434" s="2" t="str">
        <f aca="true" t="shared" si="85" ref="C434:C497">IF(CODE(C433)=32," ",IF(AND(C433+1&lt;=$E$30,G433&gt;0),+C433+1," "))</f>
        <v> </v>
      </c>
      <c r="D434" s="3" t="str">
        <f t="shared" si="81"/>
        <v> </v>
      </c>
      <c r="E434" s="3" t="str">
        <f t="shared" si="79"/>
        <v> </v>
      </c>
      <c r="F434" s="3" t="str">
        <f aca="true" t="shared" si="86" ref="F434:F497">IF(C434&lt;&gt;" ",D434-E434+H434," ")</f>
        <v> </v>
      </c>
      <c r="G434" s="3" t="str">
        <f aca="true" t="shared" si="87" ref="G434:G497">IF(C434&lt;&gt;" ",G433-F434," ")</f>
        <v> </v>
      </c>
      <c r="H434" s="32"/>
      <c r="I434" s="32">
        <f>$G$39-SUM($H$39:$H434)</f>
        <v>200000</v>
      </c>
      <c r="J434" s="68"/>
      <c r="K434" s="2" t="str">
        <f aca="true" t="shared" si="88" ref="K434:K497">IF(L434&lt;&gt;" ",INT(L433/12)+1," ")</f>
        <v> </v>
      </c>
      <c r="L434" s="2" t="str">
        <f aca="true" t="shared" si="89" ref="L434:L497">IF(CODE(L433)=32," ",IF(AND(L433+1&lt;=$E$30,P433&gt;0),+L433+1," "))</f>
        <v> </v>
      </c>
      <c r="M434" s="3" t="str">
        <f>IF(L434&lt;&gt;" ",IF(P433&lt;M433,P433+N434,PMT($O$27,($N$30),-$R433))," ")</f>
        <v> </v>
      </c>
      <c r="N434" s="3" t="str">
        <f t="shared" si="80"/>
        <v> </v>
      </c>
      <c r="O434" s="3" t="str">
        <f t="shared" si="83"/>
        <v> </v>
      </c>
      <c r="P434" s="3" t="str">
        <f aca="true" t="shared" si="90" ref="P434:P497">IF(L434&lt;&gt;" ",P433-O434," ")</f>
        <v> </v>
      </c>
      <c r="Q434" s="32"/>
      <c r="R434" s="32">
        <f>$G$39-SUM($Q$39:$Q434)</f>
        <v>200000</v>
      </c>
    </row>
    <row r="435" spans="1:18" ht="12.75">
      <c r="A435" s="1">
        <f t="shared" si="82"/>
      </c>
      <c r="B435" s="2" t="str">
        <f t="shared" si="84"/>
        <v> </v>
      </c>
      <c r="C435" s="2" t="str">
        <f t="shared" si="85"/>
        <v> </v>
      </c>
      <c r="D435" s="3" t="str">
        <f t="shared" si="81"/>
        <v> </v>
      </c>
      <c r="E435" s="3" t="str">
        <f t="shared" si="79"/>
        <v> </v>
      </c>
      <c r="F435" s="3" t="str">
        <f t="shared" si="86"/>
        <v> </v>
      </c>
      <c r="G435" s="3" t="str">
        <f t="shared" si="87"/>
        <v> </v>
      </c>
      <c r="H435" s="32"/>
      <c r="I435" s="32">
        <f>$G$39-SUM($H$39:$H435)</f>
        <v>200000</v>
      </c>
      <c r="J435" s="68"/>
      <c r="K435" s="2" t="str">
        <f t="shared" si="88"/>
        <v> </v>
      </c>
      <c r="L435" s="2" t="str">
        <f t="shared" si="89"/>
        <v> </v>
      </c>
      <c r="M435" s="3" t="str">
        <f>IF(L435&lt;&gt;" ",IF(P434&lt;M434,P434+N435,PMT($O$27,($N$30),-$R434))," ")</f>
        <v> </v>
      </c>
      <c r="N435" s="3" t="str">
        <f t="shared" si="80"/>
        <v> </v>
      </c>
      <c r="O435" s="3" t="str">
        <f t="shared" si="83"/>
        <v> </v>
      </c>
      <c r="P435" s="3" t="str">
        <f t="shared" si="90"/>
        <v> </v>
      </c>
      <c r="Q435" s="32"/>
      <c r="R435" s="32">
        <f>$G$39-SUM($Q$39:$Q435)</f>
        <v>200000</v>
      </c>
    </row>
    <row r="436" spans="1:18" ht="12.75">
      <c r="A436" s="1">
        <f t="shared" si="82"/>
      </c>
      <c r="B436" s="2" t="str">
        <f t="shared" si="84"/>
        <v> </v>
      </c>
      <c r="C436" s="2" t="str">
        <f t="shared" si="85"/>
        <v> </v>
      </c>
      <c r="D436" s="3" t="str">
        <f t="shared" si="81"/>
        <v> </v>
      </c>
      <c r="E436" s="3" t="str">
        <f t="shared" si="79"/>
        <v> </v>
      </c>
      <c r="F436" s="3" t="str">
        <f t="shared" si="86"/>
        <v> </v>
      </c>
      <c r="G436" s="3" t="str">
        <f t="shared" si="87"/>
        <v> </v>
      </c>
      <c r="H436" s="32"/>
      <c r="I436" s="32">
        <f>$G$39-SUM($H$39:$H436)</f>
        <v>200000</v>
      </c>
      <c r="J436" s="68"/>
      <c r="K436" s="2" t="str">
        <f t="shared" si="88"/>
        <v> </v>
      </c>
      <c r="L436" s="2" t="str">
        <f t="shared" si="89"/>
        <v> </v>
      </c>
      <c r="M436" s="3" t="str">
        <f>IF(L436&lt;&gt;" ",IF(P435&lt;M435,P435+N436,PMT($O$27,($N$30),-$R435))," ")</f>
        <v> </v>
      </c>
      <c r="N436" s="3" t="str">
        <f t="shared" si="80"/>
        <v> </v>
      </c>
      <c r="O436" s="3" t="str">
        <f t="shared" si="83"/>
        <v> </v>
      </c>
      <c r="P436" s="3" t="str">
        <f t="shared" si="90"/>
        <v> </v>
      </c>
      <c r="Q436" s="32"/>
      <c r="R436" s="32">
        <f>$G$39-SUM($Q$39:$Q436)</f>
        <v>200000</v>
      </c>
    </row>
    <row r="437" spans="1:18" ht="12.75">
      <c r="A437" s="1">
        <f t="shared" si="82"/>
      </c>
      <c r="B437" s="2" t="str">
        <f t="shared" si="84"/>
        <v> </v>
      </c>
      <c r="C437" s="2" t="str">
        <f t="shared" si="85"/>
        <v> </v>
      </c>
      <c r="D437" s="3" t="str">
        <f t="shared" si="81"/>
        <v> </v>
      </c>
      <c r="E437" s="3" t="str">
        <f aca="true" t="shared" si="91" ref="E437:E500">IF(C437&lt;&gt;" ",G436*$F$27," ")</f>
        <v> </v>
      </c>
      <c r="F437" s="3" t="str">
        <f t="shared" si="86"/>
        <v> </v>
      </c>
      <c r="G437" s="3" t="str">
        <f t="shared" si="87"/>
        <v> </v>
      </c>
      <c r="H437" s="32"/>
      <c r="I437" s="32">
        <f>$G$39-SUM($H$39:$H437)</f>
        <v>200000</v>
      </c>
      <c r="J437" s="68"/>
      <c r="K437" s="2" t="str">
        <f t="shared" si="88"/>
        <v> </v>
      </c>
      <c r="L437" s="2" t="str">
        <f t="shared" si="89"/>
        <v> </v>
      </c>
      <c r="M437" s="3" t="str">
        <f>IF(L437&lt;&gt;" ",IF(P436&lt;M436,P436+N437,PMT($O$27,($N$30),-$R436))," ")</f>
        <v> </v>
      </c>
      <c r="N437" s="3" t="str">
        <f aca="true" t="shared" si="92" ref="N437:N500">IF(L437&lt;&gt;" ",P436*$O$27," ")</f>
        <v> </v>
      </c>
      <c r="O437" s="3" t="str">
        <f t="shared" si="83"/>
        <v> </v>
      </c>
      <c r="P437" s="3" t="str">
        <f t="shared" si="90"/>
        <v> </v>
      </c>
      <c r="Q437" s="32"/>
      <c r="R437" s="32">
        <f>$G$39-SUM($Q$39:$Q437)</f>
        <v>200000</v>
      </c>
    </row>
    <row r="438" spans="1:18" ht="12.75">
      <c r="A438" s="1">
        <f t="shared" si="82"/>
      </c>
      <c r="B438" s="2" t="str">
        <f t="shared" si="84"/>
        <v> </v>
      </c>
      <c r="C438" s="2" t="str">
        <f t="shared" si="85"/>
        <v> </v>
      </c>
      <c r="D438" s="3" t="str">
        <f t="shared" si="81"/>
        <v> </v>
      </c>
      <c r="E438" s="3" t="str">
        <f t="shared" si="91"/>
        <v> </v>
      </c>
      <c r="F438" s="3" t="str">
        <f t="shared" si="86"/>
        <v> </v>
      </c>
      <c r="G438" s="3" t="str">
        <f t="shared" si="87"/>
        <v> </v>
      </c>
      <c r="H438" s="32"/>
      <c r="I438" s="32">
        <f>$G$39-SUM($H$39:$H438)</f>
        <v>200000</v>
      </c>
      <c r="J438" s="68"/>
      <c r="K438" s="2" t="str">
        <f t="shared" si="88"/>
        <v> </v>
      </c>
      <c r="L438" s="2" t="str">
        <f t="shared" si="89"/>
        <v> </v>
      </c>
      <c r="M438" s="3" t="str">
        <f>IF(L438&lt;&gt;" ",IF(P437&lt;M437,P437+N438,PMT($O$27,($N$30),-$R437))," ")</f>
        <v> </v>
      </c>
      <c r="N438" s="3" t="str">
        <f t="shared" si="92"/>
        <v> </v>
      </c>
      <c r="O438" s="3" t="str">
        <f t="shared" si="83"/>
        <v> </v>
      </c>
      <c r="P438" s="3" t="str">
        <f t="shared" si="90"/>
        <v> </v>
      </c>
      <c r="Q438" s="32"/>
      <c r="R438" s="32">
        <f>$G$39-SUM($Q$39:$Q438)</f>
        <v>200000</v>
      </c>
    </row>
    <row r="439" spans="1:18" ht="12.75">
      <c r="A439" s="1">
        <f t="shared" si="82"/>
      </c>
      <c r="B439" s="2" t="str">
        <f t="shared" si="84"/>
        <v> </v>
      </c>
      <c r="C439" s="2" t="str">
        <f t="shared" si="85"/>
        <v> </v>
      </c>
      <c r="D439" s="3" t="str">
        <f t="shared" si="81"/>
        <v> </v>
      </c>
      <c r="E439" s="3" t="str">
        <f t="shared" si="91"/>
        <v> </v>
      </c>
      <c r="F439" s="3" t="str">
        <f t="shared" si="86"/>
        <v> </v>
      </c>
      <c r="G439" s="3" t="str">
        <f t="shared" si="87"/>
        <v> </v>
      </c>
      <c r="H439" s="32"/>
      <c r="I439" s="32">
        <f>$G$39-SUM($H$39:$H439)</f>
        <v>200000</v>
      </c>
      <c r="J439" s="68"/>
      <c r="K439" s="2" t="str">
        <f t="shared" si="88"/>
        <v> </v>
      </c>
      <c r="L439" s="2" t="str">
        <f t="shared" si="89"/>
        <v> </v>
      </c>
      <c r="M439" s="3" t="str">
        <f>IF(L439&lt;&gt;" ",IF(P438&lt;M438,P438+N439,PMT($O$27,($N$30),-$R438))," ")</f>
        <v> </v>
      </c>
      <c r="N439" s="3" t="str">
        <f t="shared" si="92"/>
        <v> </v>
      </c>
      <c r="O439" s="3" t="str">
        <f t="shared" si="83"/>
        <v> </v>
      </c>
      <c r="P439" s="3" t="str">
        <f t="shared" si="90"/>
        <v> </v>
      </c>
      <c r="Q439" s="32"/>
      <c r="R439" s="32">
        <f>$G$39-SUM($Q$39:$Q439)</f>
        <v>200000</v>
      </c>
    </row>
    <row r="440" spans="1:18" ht="12.75">
      <c r="A440" s="1">
        <f t="shared" si="82"/>
      </c>
      <c r="B440" s="2" t="str">
        <f t="shared" si="84"/>
        <v> </v>
      </c>
      <c r="C440" s="2" t="str">
        <f t="shared" si="85"/>
        <v> </v>
      </c>
      <c r="D440" s="3" t="str">
        <f aca="true" t="shared" si="93" ref="D440:D503">IF(C440&lt;&gt;" ",IF(G439&lt;D439,G439+E440,PMT($F$27,($E$30),-I439))," ")</f>
        <v> </v>
      </c>
      <c r="E440" s="3" t="str">
        <f t="shared" si="91"/>
        <v> </v>
      </c>
      <c r="F440" s="3" t="str">
        <f t="shared" si="86"/>
        <v> </v>
      </c>
      <c r="G440" s="3" t="str">
        <f t="shared" si="87"/>
        <v> </v>
      </c>
      <c r="H440" s="32"/>
      <c r="I440" s="32">
        <f>$G$39-SUM($H$39:$H440)</f>
        <v>200000</v>
      </c>
      <c r="J440" s="68"/>
      <c r="K440" s="2" t="str">
        <f t="shared" si="88"/>
        <v> </v>
      </c>
      <c r="L440" s="2" t="str">
        <f t="shared" si="89"/>
        <v> </v>
      </c>
      <c r="M440" s="3" t="str">
        <f>IF(L440&lt;&gt;" ",IF(P439&lt;M439,P439+N440,PMT($O$27,($N$30),-$R439))," ")</f>
        <v> </v>
      </c>
      <c r="N440" s="3" t="str">
        <f t="shared" si="92"/>
        <v> </v>
      </c>
      <c r="O440" s="3" t="str">
        <f t="shared" si="83"/>
        <v> </v>
      </c>
      <c r="P440" s="3" t="str">
        <f t="shared" si="90"/>
        <v> </v>
      </c>
      <c r="Q440" s="32"/>
      <c r="R440" s="32">
        <f>$G$39-SUM($Q$39:$Q440)</f>
        <v>200000</v>
      </c>
    </row>
    <row r="441" spans="1:18" ht="12.75">
      <c r="A441" s="1">
        <f t="shared" si="82"/>
      </c>
      <c r="B441" s="2" t="str">
        <f t="shared" si="84"/>
        <v> </v>
      </c>
      <c r="C441" s="2" t="str">
        <f t="shared" si="85"/>
        <v> </v>
      </c>
      <c r="D441" s="3" t="str">
        <f t="shared" si="93"/>
        <v> </v>
      </c>
      <c r="E441" s="3" t="str">
        <f t="shared" si="91"/>
        <v> </v>
      </c>
      <c r="F441" s="3" t="str">
        <f t="shared" si="86"/>
        <v> </v>
      </c>
      <c r="G441" s="3" t="str">
        <f t="shared" si="87"/>
        <v> </v>
      </c>
      <c r="H441" s="32"/>
      <c r="I441" s="32">
        <f>$G$39-SUM($H$39:$H441)</f>
        <v>200000</v>
      </c>
      <c r="J441" s="68"/>
      <c r="K441" s="2" t="str">
        <f t="shared" si="88"/>
        <v> </v>
      </c>
      <c r="L441" s="2" t="str">
        <f t="shared" si="89"/>
        <v> </v>
      </c>
      <c r="M441" s="3" t="str">
        <f>IF(L441&lt;&gt;" ",IF(P440&lt;M440,P440+N441,PMT($O$27,($N$30),-$R440))," ")</f>
        <v> </v>
      </c>
      <c r="N441" s="3" t="str">
        <f t="shared" si="92"/>
        <v> </v>
      </c>
      <c r="O441" s="3" t="str">
        <f t="shared" si="83"/>
        <v> </v>
      </c>
      <c r="P441" s="3" t="str">
        <f t="shared" si="90"/>
        <v> </v>
      </c>
      <c r="Q441" s="32"/>
      <c r="R441" s="32">
        <f>$G$39-SUM($Q$39:$Q441)</f>
        <v>200000</v>
      </c>
    </row>
    <row r="442" spans="1:18" ht="12.75">
      <c r="A442" s="1">
        <f t="shared" si="82"/>
      </c>
      <c r="B442" s="2" t="str">
        <f t="shared" si="84"/>
        <v> </v>
      </c>
      <c r="C442" s="2" t="str">
        <f t="shared" si="85"/>
        <v> </v>
      </c>
      <c r="D442" s="3" t="str">
        <f t="shared" si="93"/>
        <v> </v>
      </c>
      <c r="E442" s="3" t="str">
        <f t="shared" si="91"/>
        <v> </v>
      </c>
      <c r="F442" s="3" t="str">
        <f t="shared" si="86"/>
        <v> </v>
      </c>
      <c r="G442" s="3" t="str">
        <f t="shared" si="87"/>
        <v> </v>
      </c>
      <c r="H442" s="32"/>
      <c r="I442" s="32">
        <f>$G$39-SUM($H$39:$H442)</f>
        <v>200000</v>
      </c>
      <c r="J442" s="68"/>
      <c r="K442" s="2" t="str">
        <f t="shared" si="88"/>
        <v> </v>
      </c>
      <c r="L442" s="2" t="str">
        <f t="shared" si="89"/>
        <v> </v>
      </c>
      <c r="M442" s="3" t="str">
        <f>IF(L442&lt;&gt;" ",IF(P441&lt;M441,P441+N442,PMT($O$27,($N$30),-$R441))," ")</f>
        <v> </v>
      </c>
      <c r="N442" s="3" t="str">
        <f t="shared" si="92"/>
        <v> </v>
      </c>
      <c r="O442" s="3" t="str">
        <f t="shared" si="83"/>
        <v> </v>
      </c>
      <c r="P442" s="3" t="str">
        <f t="shared" si="90"/>
        <v> </v>
      </c>
      <c r="Q442" s="32"/>
      <c r="R442" s="32">
        <f>$G$39-SUM($Q$39:$Q442)</f>
        <v>200000</v>
      </c>
    </row>
    <row r="443" spans="1:18" ht="12.75">
      <c r="A443" s="1">
        <f t="shared" si="82"/>
      </c>
      <c r="B443" s="2" t="str">
        <f t="shared" si="84"/>
        <v> </v>
      </c>
      <c r="C443" s="2" t="str">
        <f t="shared" si="85"/>
        <v> </v>
      </c>
      <c r="D443" s="3" t="str">
        <f t="shared" si="93"/>
        <v> </v>
      </c>
      <c r="E443" s="3" t="str">
        <f t="shared" si="91"/>
        <v> </v>
      </c>
      <c r="F443" s="3" t="str">
        <f t="shared" si="86"/>
        <v> </v>
      </c>
      <c r="G443" s="3" t="str">
        <f t="shared" si="87"/>
        <v> </v>
      </c>
      <c r="H443" s="32"/>
      <c r="I443" s="32">
        <f>$G$39-SUM($H$39:$H443)</f>
        <v>200000</v>
      </c>
      <c r="J443" s="68"/>
      <c r="K443" s="2" t="str">
        <f t="shared" si="88"/>
        <v> </v>
      </c>
      <c r="L443" s="2" t="str">
        <f t="shared" si="89"/>
        <v> </v>
      </c>
      <c r="M443" s="3" t="str">
        <f>IF(L443&lt;&gt;" ",IF(P442&lt;M442,P442+N443,PMT($O$27,($N$30),-$R442))," ")</f>
        <v> </v>
      </c>
      <c r="N443" s="3" t="str">
        <f t="shared" si="92"/>
        <v> </v>
      </c>
      <c r="O443" s="3" t="str">
        <f t="shared" si="83"/>
        <v> </v>
      </c>
      <c r="P443" s="3" t="str">
        <f t="shared" si="90"/>
        <v> </v>
      </c>
      <c r="Q443" s="32"/>
      <c r="R443" s="32">
        <f>$G$39-SUM($Q$39:$Q443)</f>
        <v>200000</v>
      </c>
    </row>
    <row r="444" spans="1:18" ht="12.75">
      <c r="A444" s="1">
        <f t="shared" si="82"/>
      </c>
      <c r="B444" s="2" t="str">
        <f t="shared" si="84"/>
        <v> </v>
      </c>
      <c r="C444" s="2" t="str">
        <f t="shared" si="85"/>
        <v> </v>
      </c>
      <c r="D444" s="3" t="str">
        <f t="shared" si="93"/>
        <v> </v>
      </c>
      <c r="E444" s="3" t="str">
        <f t="shared" si="91"/>
        <v> </v>
      </c>
      <c r="F444" s="3" t="str">
        <f t="shared" si="86"/>
        <v> </v>
      </c>
      <c r="G444" s="3" t="str">
        <f t="shared" si="87"/>
        <v> </v>
      </c>
      <c r="H444" s="32"/>
      <c r="I444" s="32">
        <f>$G$39-SUM($H$39:$H444)</f>
        <v>200000</v>
      </c>
      <c r="J444" s="68"/>
      <c r="K444" s="2" t="str">
        <f t="shared" si="88"/>
        <v> </v>
      </c>
      <c r="L444" s="2" t="str">
        <f t="shared" si="89"/>
        <v> </v>
      </c>
      <c r="M444" s="3" t="str">
        <f>IF(L444&lt;&gt;" ",IF(P443&lt;M443,P443+N444,PMT($O$27,($N$30),-$R443))," ")</f>
        <v> </v>
      </c>
      <c r="N444" s="3" t="str">
        <f t="shared" si="92"/>
        <v> </v>
      </c>
      <c r="O444" s="3" t="str">
        <f t="shared" si="83"/>
        <v> </v>
      </c>
      <c r="P444" s="3" t="str">
        <f t="shared" si="90"/>
        <v> </v>
      </c>
      <c r="Q444" s="32"/>
      <c r="R444" s="32">
        <f>$G$39-SUM($Q$39:$Q444)</f>
        <v>200000</v>
      </c>
    </row>
    <row r="445" spans="1:18" ht="12.75">
      <c r="A445" s="1">
        <f t="shared" si="82"/>
      </c>
      <c r="B445" s="2" t="str">
        <f t="shared" si="84"/>
        <v> </v>
      </c>
      <c r="C445" s="2" t="str">
        <f t="shared" si="85"/>
        <v> </v>
      </c>
      <c r="D445" s="3" t="str">
        <f t="shared" si="93"/>
        <v> </v>
      </c>
      <c r="E445" s="3" t="str">
        <f t="shared" si="91"/>
        <v> </v>
      </c>
      <c r="F445" s="3" t="str">
        <f t="shared" si="86"/>
        <v> </v>
      </c>
      <c r="G445" s="3" t="str">
        <f t="shared" si="87"/>
        <v> </v>
      </c>
      <c r="H445" s="32"/>
      <c r="I445" s="32">
        <f>$G$39-SUM($H$39:$H445)</f>
        <v>200000</v>
      </c>
      <c r="J445" s="68"/>
      <c r="K445" s="2" t="str">
        <f t="shared" si="88"/>
        <v> </v>
      </c>
      <c r="L445" s="2" t="str">
        <f t="shared" si="89"/>
        <v> </v>
      </c>
      <c r="M445" s="3" t="str">
        <f>IF(L445&lt;&gt;" ",IF(P444&lt;M444,P444+N445,PMT($O$27,($N$30),-$R444))," ")</f>
        <v> </v>
      </c>
      <c r="N445" s="3" t="str">
        <f t="shared" si="92"/>
        <v> </v>
      </c>
      <c r="O445" s="3" t="str">
        <f t="shared" si="83"/>
        <v> </v>
      </c>
      <c r="P445" s="3" t="str">
        <f t="shared" si="90"/>
        <v> </v>
      </c>
      <c r="Q445" s="32"/>
      <c r="R445" s="32">
        <f>$G$39-SUM($Q$39:$Q445)</f>
        <v>200000</v>
      </c>
    </row>
    <row r="446" spans="1:18" ht="12.75">
      <c r="A446" s="1">
        <f t="shared" si="82"/>
      </c>
      <c r="B446" s="2" t="str">
        <f t="shared" si="84"/>
        <v> </v>
      </c>
      <c r="C446" s="2" t="str">
        <f t="shared" si="85"/>
        <v> </v>
      </c>
      <c r="D446" s="3" t="str">
        <f t="shared" si="93"/>
        <v> </v>
      </c>
      <c r="E446" s="3" t="str">
        <f t="shared" si="91"/>
        <v> </v>
      </c>
      <c r="F446" s="3" t="str">
        <f t="shared" si="86"/>
        <v> </v>
      </c>
      <c r="G446" s="3" t="str">
        <f t="shared" si="87"/>
        <v> </v>
      </c>
      <c r="H446" s="32"/>
      <c r="I446" s="32">
        <f>$G$39-SUM($H$39:$H446)</f>
        <v>200000</v>
      </c>
      <c r="J446" s="68"/>
      <c r="K446" s="2" t="str">
        <f t="shared" si="88"/>
        <v> </v>
      </c>
      <c r="L446" s="2" t="str">
        <f t="shared" si="89"/>
        <v> </v>
      </c>
      <c r="M446" s="3" t="str">
        <f>IF(L446&lt;&gt;" ",IF(P445&lt;M445,P445+N446,PMT($O$27,($N$30),-$R445))," ")</f>
        <v> </v>
      </c>
      <c r="N446" s="3" t="str">
        <f t="shared" si="92"/>
        <v> </v>
      </c>
      <c r="O446" s="3" t="str">
        <f t="shared" si="83"/>
        <v> </v>
      </c>
      <c r="P446" s="3" t="str">
        <f t="shared" si="90"/>
        <v> </v>
      </c>
      <c r="Q446" s="32"/>
      <c r="R446" s="32">
        <f>$G$39-SUM($Q$39:$Q446)</f>
        <v>200000</v>
      </c>
    </row>
    <row r="447" spans="1:18" ht="12.75">
      <c r="A447" s="1">
        <f t="shared" si="82"/>
      </c>
      <c r="B447" s="2" t="str">
        <f t="shared" si="84"/>
        <v> </v>
      </c>
      <c r="C447" s="2" t="str">
        <f t="shared" si="85"/>
        <v> </v>
      </c>
      <c r="D447" s="3" t="str">
        <f t="shared" si="93"/>
        <v> </v>
      </c>
      <c r="E447" s="3" t="str">
        <f t="shared" si="91"/>
        <v> </v>
      </c>
      <c r="F447" s="3" t="str">
        <f t="shared" si="86"/>
        <v> </v>
      </c>
      <c r="G447" s="3" t="str">
        <f t="shared" si="87"/>
        <v> </v>
      </c>
      <c r="H447" s="32"/>
      <c r="I447" s="32">
        <f>$G$39-SUM($H$39:$H447)</f>
        <v>200000</v>
      </c>
      <c r="J447" s="68"/>
      <c r="K447" s="2" t="str">
        <f t="shared" si="88"/>
        <v> </v>
      </c>
      <c r="L447" s="2" t="str">
        <f t="shared" si="89"/>
        <v> </v>
      </c>
      <c r="M447" s="3" t="str">
        <f>IF(L447&lt;&gt;" ",IF(P446&lt;M446,P446+N447,PMT($O$27,($N$30),-$R446))," ")</f>
        <v> </v>
      </c>
      <c r="N447" s="3" t="str">
        <f t="shared" si="92"/>
        <v> </v>
      </c>
      <c r="O447" s="3" t="str">
        <f t="shared" si="83"/>
        <v> </v>
      </c>
      <c r="P447" s="3" t="str">
        <f t="shared" si="90"/>
        <v> </v>
      </c>
      <c r="Q447" s="32"/>
      <c r="R447" s="32">
        <f>$G$39-SUM($Q$39:$Q447)</f>
        <v>200000</v>
      </c>
    </row>
    <row r="448" spans="1:18" ht="12.75">
      <c r="A448" s="1">
        <f t="shared" si="82"/>
      </c>
      <c r="B448" s="2" t="str">
        <f t="shared" si="84"/>
        <v> </v>
      </c>
      <c r="C448" s="2" t="str">
        <f t="shared" si="85"/>
        <v> </v>
      </c>
      <c r="D448" s="3" t="str">
        <f t="shared" si="93"/>
        <v> </v>
      </c>
      <c r="E448" s="3" t="str">
        <f t="shared" si="91"/>
        <v> </v>
      </c>
      <c r="F448" s="3" t="str">
        <f t="shared" si="86"/>
        <v> </v>
      </c>
      <c r="G448" s="3" t="str">
        <f t="shared" si="87"/>
        <v> </v>
      </c>
      <c r="H448" s="32"/>
      <c r="I448" s="32">
        <f>$G$39-SUM($H$39:$H448)</f>
        <v>200000</v>
      </c>
      <c r="J448" s="68"/>
      <c r="K448" s="2" t="str">
        <f t="shared" si="88"/>
        <v> </v>
      </c>
      <c r="L448" s="2" t="str">
        <f t="shared" si="89"/>
        <v> </v>
      </c>
      <c r="M448" s="3" t="str">
        <f>IF(L448&lt;&gt;" ",IF(P447&lt;M447,P447+N448,PMT($O$27,($N$30),-$R447))," ")</f>
        <v> </v>
      </c>
      <c r="N448" s="3" t="str">
        <f t="shared" si="92"/>
        <v> </v>
      </c>
      <c r="O448" s="3" t="str">
        <f t="shared" si="83"/>
        <v> </v>
      </c>
      <c r="P448" s="3" t="str">
        <f t="shared" si="90"/>
        <v> </v>
      </c>
      <c r="Q448" s="32"/>
      <c r="R448" s="32">
        <f>$G$39-SUM($Q$39:$Q448)</f>
        <v>200000</v>
      </c>
    </row>
    <row r="449" spans="1:18" ht="12.75">
      <c r="A449" s="1">
        <f t="shared" si="82"/>
      </c>
      <c r="B449" s="2" t="str">
        <f t="shared" si="84"/>
        <v> </v>
      </c>
      <c r="C449" s="2" t="str">
        <f t="shared" si="85"/>
        <v> </v>
      </c>
      <c r="D449" s="3" t="str">
        <f t="shared" si="93"/>
        <v> </v>
      </c>
      <c r="E449" s="3" t="str">
        <f t="shared" si="91"/>
        <v> </v>
      </c>
      <c r="F449" s="3" t="str">
        <f t="shared" si="86"/>
        <v> </v>
      </c>
      <c r="G449" s="3" t="str">
        <f t="shared" si="87"/>
        <v> </v>
      </c>
      <c r="H449" s="32"/>
      <c r="I449" s="32">
        <f>$G$39-SUM($H$39:$H449)</f>
        <v>200000</v>
      </c>
      <c r="J449" s="68"/>
      <c r="K449" s="2" t="str">
        <f t="shared" si="88"/>
        <v> </v>
      </c>
      <c r="L449" s="2" t="str">
        <f t="shared" si="89"/>
        <v> </v>
      </c>
      <c r="M449" s="3" t="str">
        <f>IF(L449&lt;&gt;" ",IF(P448&lt;M448,P448+N449,PMT($O$27,($N$30),-$R448))," ")</f>
        <v> </v>
      </c>
      <c r="N449" s="3" t="str">
        <f t="shared" si="92"/>
        <v> </v>
      </c>
      <c r="O449" s="3" t="str">
        <f t="shared" si="83"/>
        <v> </v>
      </c>
      <c r="P449" s="3" t="str">
        <f t="shared" si="90"/>
        <v> </v>
      </c>
      <c r="Q449" s="32"/>
      <c r="R449" s="32">
        <f>$G$39-SUM($Q$39:$Q449)</f>
        <v>200000</v>
      </c>
    </row>
    <row r="450" spans="1:18" ht="12.75">
      <c r="A450" s="1">
        <f t="shared" si="82"/>
      </c>
      <c r="B450" s="2" t="str">
        <f t="shared" si="84"/>
        <v> </v>
      </c>
      <c r="C450" s="2" t="str">
        <f t="shared" si="85"/>
        <v> </v>
      </c>
      <c r="D450" s="3" t="str">
        <f t="shared" si="93"/>
        <v> </v>
      </c>
      <c r="E450" s="3" t="str">
        <f t="shared" si="91"/>
        <v> </v>
      </c>
      <c r="F450" s="3" t="str">
        <f t="shared" si="86"/>
        <v> </v>
      </c>
      <c r="G450" s="3" t="str">
        <f t="shared" si="87"/>
        <v> </v>
      </c>
      <c r="H450" s="32"/>
      <c r="I450" s="32">
        <f>$G$39-SUM($H$39:$H450)</f>
        <v>200000</v>
      </c>
      <c r="J450" s="68"/>
      <c r="K450" s="2" t="str">
        <f t="shared" si="88"/>
        <v> </v>
      </c>
      <c r="L450" s="2" t="str">
        <f t="shared" si="89"/>
        <v> </v>
      </c>
      <c r="M450" s="3" t="str">
        <f>IF(L450&lt;&gt;" ",IF(P449&lt;M449,P449+N450,PMT($O$27,($N$30),-$R449))," ")</f>
        <v> </v>
      </c>
      <c r="N450" s="3" t="str">
        <f t="shared" si="92"/>
        <v> </v>
      </c>
      <c r="O450" s="3" t="str">
        <f t="shared" si="83"/>
        <v> </v>
      </c>
      <c r="P450" s="3" t="str">
        <f t="shared" si="90"/>
        <v> </v>
      </c>
      <c r="Q450" s="32"/>
      <c r="R450" s="32">
        <f>$G$39-SUM($Q$39:$Q450)</f>
        <v>200000</v>
      </c>
    </row>
    <row r="451" spans="1:18" ht="12.75">
      <c r="A451" s="1">
        <f t="shared" si="82"/>
      </c>
      <c r="B451" s="2" t="str">
        <f t="shared" si="84"/>
        <v> </v>
      </c>
      <c r="C451" s="2" t="str">
        <f t="shared" si="85"/>
        <v> </v>
      </c>
      <c r="D451" s="3" t="str">
        <f t="shared" si="93"/>
        <v> </v>
      </c>
      <c r="E451" s="3" t="str">
        <f t="shared" si="91"/>
        <v> </v>
      </c>
      <c r="F451" s="3" t="str">
        <f t="shared" si="86"/>
        <v> </v>
      </c>
      <c r="G451" s="3" t="str">
        <f t="shared" si="87"/>
        <v> </v>
      </c>
      <c r="H451" s="32"/>
      <c r="I451" s="32">
        <f>$G$39-SUM($H$39:$H451)</f>
        <v>200000</v>
      </c>
      <c r="J451" s="68"/>
      <c r="K451" s="2" t="str">
        <f t="shared" si="88"/>
        <v> </v>
      </c>
      <c r="L451" s="2" t="str">
        <f t="shared" si="89"/>
        <v> </v>
      </c>
      <c r="M451" s="3" t="str">
        <f>IF(L451&lt;&gt;" ",IF(P450&lt;M450,P450+N451,PMT($O$27,($N$30),-$R450))," ")</f>
        <v> </v>
      </c>
      <c r="N451" s="3" t="str">
        <f t="shared" si="92"/>
        <v> </v>
      </c>
      <c r="O451" s="3" t="str">
        <f t="shared" si="83"/>
        <v> </v>
      </c>
      <c r="P451" s="3" t="str">
        <f t="shared" si="90"/>
        <v> </v>
      </c>
      <c r="Q451" s="32"/>
      <c r="R451" s="32">
        <f>$G$39-SUM($Q$39:$Q451)</f>
        <v>200000</v>
      </c>
    </row>
    <row r="452" spans="1:18" ht="12.75">
      <c r="A452" s="1">
        <f t="shared" si="82"/>
      </c>
      <c r="B452" s="2" t="str">
        <f t="shared" si="84"/>
        <v> </v>
      </c>
      <c r="C452" s="2" t="str">
        <f t="shared" si="85"/>
        <v> </v>
      </c>
      <c r="D452" s="3" t="str">
        <f t="shared" si="93"/>
        <v> </v>
      </c>
      <c r="E452" s="3" t="str">
        <f t="shared" si="91"/>
        <v> </v>
      </c>
      <c r="F452" s="3" t="str">
        <f t="shared" si="86"/>
        <v> </v>
      </c>
      <c r="G452" s="3" t="str">
        <f t="shared" si="87"/>
        <v> </v>
      </c>
      <c r="H452" s="32"/>
      <c r="I452" s="32">
        <f>$G$39-SUM($H$39:$H452)</f>
        <v>200000</v>
      </c>
      <c r="J452" s="68"/>
      <c r="K452" s="2" t="str">
        <f t="shared" si="88"/>
        <v> </v>
      </c>
      <c r="L452" s="2" t="str">
        <f t="shared" si="89"/>
        <v> </v>
      </c>
      <c r="M452" s="3" t="str">
        <f>IF(L452&lt;&gt;" ",IF(P451&lt;M451,P451+N452,PMT($O$27,($N$30),-$R451))," ")</f>
        <v> </v>
      </c>
      <c r="N452" s="3" t="str">
        <f t="shared" si="92"/>
        <v> </v>
      </c>
      <c r="O452" s="3" t="str">
        <f t="shared" si="83"/>
        <v> </v>
      </c>
      <c r="P452" s="3" t="str">
        <f t="shared" si="90"/>
        <v> </v>
      </c>
      <c r="Q452" s="32"/>
      <c r="R452" s="32">
        <f>$G$39-SUM($Q$39:$Q452)</f>
        <v>200000</v>
      </c>
    </row>
    <row r="453" spans="1:18" ht="12.75">
      <c r="A453" s="1">
        <f t="shared" si="82"/>
      </c>
      <c r="B453" s="2" t="str">
        <f t="shared" si="84"/>
        <v> </v>
      </c>
      <c r="C453" s="2" t="str">
        <f t="shared" si="85"/>
        <v> </v>
      </c>
      <c r="D453" s="3" t="str">
        <f t="shared" si="93"/>
        <v> </v>
      </c>
      <c r="E453" s="3" t="str">
        <f t="shared" si="91"/>
        <v> </v>
      </c>
      <c r="F453" s="3" t="str">
        <f t="shared" si="86"/>
        <v> </v>
      </c>
      <c r="G453" s="3" t="str">
        <f t="shared" si="87"/>
        <v> </v>
      </c>
      <c r="H453" s="32"/>
      <c r="I453" s="32">
        <f>$G$39-SUM($H$39:$H453)</f>
        <v>200000</v>
      </c>
      <c r="J453" s="68"/>
      <c r="K453" s="2" t="str">
        <f t="shared" si="88"/>
        <v> </v>
      </c>
      <c r="L453" s="2" t="str">
        <f t="shared" si="89"/>
        <v> </v>
      </c>
      <c r="M453" s="3" t="str">
        <f>IF(L453&lt;&gt;" ",IF(P452&lt;M452,P452+N453,PMT($O$27,($N$30),-$R452))," ")</f>
        <v> </v>
      </c>
      <c r="N453" s="3" t="str">
        <f t="shared" si="92"/>
        <v> </v>
      </c>
      <c r="O453" s="3" t="str">
        <f t="shared" si="83"/>
        <v> </v>
      </c>
      <c r="P453" s="3" t="str">
        <f t="shared" si="90"/>
        <v> </v>
      </c>
      <c r="Q453" s="32"/>
      <c r="R453" s="32">
        <f>$G$39-SUM($Q$39:$Q453)</f>
        <v>200000</v>
      </c>
    </row>
    <row r="454" spans="1:18" ht="12.75">
      <c r="A454" s="1">
        <f t="shared" si="82"/>
      </c>
      <c r="B454" s="2" t="str">
        <f t="shared" si="84"/>
        <v> </v>
      </c>
      <c r="C454" s="2" t="str">
        <f t="shared" si="85"/>
        <v> </v>
      </c>
      <c r="D454" s="3" t="str">
        <f t="shared" si="93"/>
        <v> </v>
      </c>
      <c r="E454" s="3" t="str">
        <f t="shared" si="91"/>
        <v> </v>
      </c>
      <c r="F454" s="3" t="str">
        <f t="shared" si="86"/>
        <v> </v>
      </c>
      <c r="G454" s="3" t="str">
        <f t="shared" si="87"/>
        <v> </v>
      </c>
      <c r="H454" s="32"/>
      <c r="I454" s="32">
        <f>$G$39-SUM($H$39:$H454)</f>
        <v>200000</v>
      </c>
      <c r="J454" s="68"/>
      <c r="K454" s="2" t="str">
        <f t="shared" si="88"/>
        <v> </v>
      </c>
      <c r="L454" s="2" t="str">
        <f t="shared" si="89"/>
        <v> </v>
      </c>
      <c r="M454" s="3" t="str">
        <f>IF(L454&lt;&gt;" ",IF(P453&lt;M453,P453+N454,PMT($O$27,($N$30),-$R453))," ")</f>
        <v> </v>
      </c>
      <c r="N454" s="3" t="str">
        <f t="shared" si="92"/>
        <v> </v>
      </c>
      <c r="O454" s="3" t="str">
        <f t="shared" si="83"/>
        <v> </v>
      </c>
      <c r="P454" s="3" t="str">
        <f t="shared" si="90"/>
        <v> </v>
      </c>
      <c r="Q454" s="32"/>
      <c r="R454" s="32">
        <f>$G$39-SUM($Q$39:$Q454)</f>
        <v>200000</v>
      </c>
    </row>
    <row r="455" spans="1:18" ht="12.75">
      <c r="A455" s="1">
        <f t="shared" si="82"/>
      </c>
      <c r="B455" s="2" t="str">
        <f t="shared" si="84"/>
        <v> </v>
      </c>
      <c r="C455" s="2" t="str">
        <f t="shared" si="85"/>
        <v> </v>
      </c>
      <c r="D455" s="3" t="str">
        <f t="shared" si="93"/>
        <v> </v>
      </c>
      <c r="E455" s="3" t="str">
        <f t="shared" si="91"/>
        <v> </v>
      </c>
      <c r="F455" s="3" t="str">
        <f t="shared" si="86"/>
        <v> </v>
      </c>
      <c r="G455" s="3" t="str">
        <f t="shared" si="87"/>
        <v> </v>
      </c>
      <c r="H455" s="32"/>
      <c r="I455" s="32">
        <f>$G$39-SUM($H$39:$H455)</f>
        <v>200000</v>
      </c>
      <c r="J455" s="68"/>
      <c r="K455" s="2" t="str">
        <f t="shared" si="88"/>
        <v> </v>
      </c>
      <c r="L455" s="2" t="str">
        <f t="shared" si="89"/>
        <v> </v>
      </c>
      <c r="M455" s="3" t="str">
        <f>IF(L455&lt;&gt;" ",IF(P454&lt;M454,P454+N455,PMT($O$27,($N$30),-$R454))," ")</f>
        <v> </v>
      </c>
      <c r="N455" s="3" t="str">
        <f t="shared" si="92"/>
        <v> </v>
      </c>
      <c r="O455" s="3" t="str">
        <f t="shared" si="83"/>
        <v> </v>
      </c>
      <c r="P455" s="3" t="str">
        <f t="shared" si="90"/>
        <v> </v>
      </c>
      <c r="Q455" s="32"/>
      <c r="R455" s="32">
        <f>$G$39-SUM($Q$39:$Q455)</f>
        <v>200000</v>
      </c>
    </row>
    <row r="456" spans="1:18" ht="12.75">
      <c r="A456" s="1">
        <f t="shared" si="82"/>
      </c>
      <c r="B456" s="2" t="str">
        <f t="shared" si="84"/>
        <v> </v>
      </c>
      <c r="C456" s="2" t="str">
        <f t="shared" si="85"/>
        <v> </v>
      </c>
      <c r="D456" s="3" t="str">
        <f t="shared" si="93"/>
        <v> </v>
      </c>
      <c r="E456" s="3" t="str">
        <f t="shared" si="91"/>
        <v> </v>
      </c>
      <c r="F456" s="3" t="str">
        <f t="shared" si="86"/>
        <v> </v>
      </c>
      <c r="G456" s="3" t="str">
        <f t="shared" si="87"/>
        <v> </v>
      </c>
      <c r="H456" s="32"/>
      <c r="I456" s="32">
        <f>$G$39-SUM($H$39:$H456)</f>
        <v>200000</v>
      </c>
      <c r="J456" s="68"/>
      <c r="K456" s="2" t="str">
        <f t="shared" si="88"/>
        <v> </v>
      </c>
      <c r="L456" s="2" t="str">
        <f t="shared" si="89"/>
        <v> </v>
      </c>
      <c r="M456" s="3" t="str">
        <f>IF(L456&lt;&gt;" ",IF(P455&lt;M455,P455+N456,PMT($O$27,($N$30),-$R455))," ")</f>
        <v> </v>
      </c>
      <c r="N456" s="3" t="str">
        <f t="shared" si="92"/>
        <v> </v>
      </c>
      <c r="O456" s="3" t="str">
        <f t="shared" si="83"/>
        <v> </v>
      </c>
      <c r="P456" s="3" t="str">
        <f t="shared" si="90"/>
        <v> </v>
      </c>
      <c r="Q456" s="32"/>
      <c r="R456" s="32">
        <f>$G$39-SUM($Q$39:$Q456)</f>
        <v>200000</v>
      </c>
    </row>
    <row r="457" spans="1:18" ht="12.75">
      <c r="A457" s="1">
        <f t="shared" si="82"/>
      </c>
      <c r="B457" s="2" t="str">
        <f t="shared" si="84"/>
        <v> </v>
      </c>
      <c r="C457" s="2" t="str">
        <f t="shared" si="85"/>
        <v> </v>
      </c>
      <c r="D457" s="3" t="str">
        <f t="shared" si="93"/>
        <v> </v>
      </c>
      <c r="E457" s="3" t="str">
        <f t="shared" si="91"/>
        <v> </v>
      </c>
      <c r="F457" s="3" t="str">
        <f t="shared" si="86"/>
        <v> </v>
      </c>
      <c r="G457" s="3" t="str">
        <f t="shared" si="87"/>
        <v> </v>
      </c>
      <c r="H457" s="32"/>
      <c r="I457" s="32">
        <f>$G$39-SUM($H$39:$H457)</f>
        <v>200000</v>
      </c>
      <c r="J457" s="68"/>
      <c r="K457" s="2" t="str">
        <f t="shared" si="88"/>
        <v> </v>
      </c>
      <c r="L457" s="2" t="str">
        <f t="shared" si="89"/>
        <v> </v>
      </c>
      <c r="M457" s="3" t="str">
        <f>IF(L457&lt;&gt;" ",IF(P456&lt;M456,P456+N457,PMT($O$27,($N$30),-$R456))," ")</f>
        <v> </v>
      </c>
      <c r="N457" s="3" t="str">
        <f t="shared" si="92"/>
        <v> </v>
      </c>
      <c r="O457" s="3" t="str">
        <f t="shared" si="83"/>
        <v> </v>
      </c>
      <c r="P457" s="3" t="str">
        <f t="shared" si="90"/>
        <v> </v>
      </c>
      <c r="Q457" s="32"/>
      <c r="R457" s="32">
        <f>$G$39-SUM($Q$39:$Q457)</f>
        <v>200000</v>
      </c>
    </row>
    <row r="458" spans="1:18" ht="12.75">
      <c r="A458" s="1">
        <f t="shared" si="82"/>
      </c>
      <c r="B458" s="2" t="str">
        <f t="shared" si="84"/>
        <v> </v>
      </c>
      <c r="C458" s="2" t="str">
        <f t="shared" si="85"/>
        <v> </v>
      </c>
      <c r="D458" s="3" t="str">
        <f t="shared" si="93"/>
        <v> </v>
      </c>
      <c r="E458" s="3" t="str">
        <f t="shared" si="91"/>
        <v> </v>
      </c>
      <c r="F458" s="3" t="str">
        <f t="shared" si="86"/>
        <v> </v>
      </c>
      <c r="G458" s="3" t="str">
        <f t="shared" si="87"/>
        <v> </v>
      </c>
      <c r="H458" s="32"/>
      <c r="I458" s="32">
        <f>$G$39-SUM($H$39:$H458)</f>
        <v>200000</v>
      </c>
      <c r="J458" s="68"/>
      <c r="K458" s="2" t="str">
        <f t="shared" si="88"/>
        <v> </v>
      </c>
      <c r="L458" s="2" t="str">
        <f t="shared" si="89"/>
        <v> </v>
      </c>
      <c r="M458" s="3" t="str">
        <f>IF(L458&lt;&gt;" ",IF(P457&lt;M457,P457+N458,PMT($O$27,($N$30),-$R457))," ")</f>
        <v> </v>
      </c>
      <c r="N458" s="3" t="str">
        <f t="shared" si="92"/>
        <v> </v>
      </c>
      <c r="O458" s="3" t="str">
        <f t="shared" si="83"/>
        <v> </v>
      </c>
      <c r="P458" s="3" t="str">
        <f t="shared" si="90"/>
        <v> </v>
      </c>
      <c r="Q458" s="32"/>
      <c r="R458" s="32">
        <f>$G$39-SUM($Q$39:$Q458)</f>
        <v>200000</v>
      </c>
    </row>
    <row r="459" spans="1:18" ht="12.75">
      <c r="A459" s="1">
        <f t="shared" si="82"/>
      </c>
      <c r="B459" s="2" t="str">
        <f t="shared" si="84"/>
        <v> </v>
      </c>
      <c r="C459" s="2" t="str">
        <f t="shared" si="85"/>
        <v> </v>
      </c>
      <c r="D459" s="3" t="str">
        <f t="shared" si="93"/>
        <v> </v>
      </c>
      <c r="E459" s="3" t="str">
        <f t="shared" si="91"/>
        <v> </v>
      </c>
      <c r="F459" s="3" t="str">
        <f t="shared" si="86"/>
        <v> </v>
      </c>
      <c r="G459" s="3" t="str">
        <f t="shared" si="87"/>
        <v> </v>
      </c>
      <c r="H459" s="32"/>
      <c r="I459" s="32">
        <f>$G$39-SUM($H$39:$H459)</f>
        <v>200000</v>
      </c>
      <c r="J459" s="68"/>
      <c r="K459" s="2" t="str">
        <f t="shared" si="88"/>
        <v> </v>
      </c>
      <c r="L459" s="2" t="str">
        <f t="shared" si="89"/>
        <v> </v>
      </c>
      <c r="M459" s="3" t="str">
        <f>IF(L459&lt;&gt;" ",IF(P458&lt;M458,P458+N459,PMT($O$27,($N$30),-$R458))," ")</f>
        <v> </v>
      </c>
      <c r="N459" s="3" t="str">
        <f t="shared" si="92"/>
        <v> </v>
      </c>
      <c r="O459" s="3" t="str">
        <f t="shared" si="83"/>
        <v> </v>
      </c>
      <c r="P459" s="3" t="str">
        <f t="shared" si="90"/>
        <v> </v>
      </c>
      <c r="Q459" s="32"/>
      <c r="R459" s="32">
        <f>$G$39-SUM($Q$39:$Q459)</f>
        <v>200000</v>
      </c>
    </row>
    <row r="460" spans="1:18" ht="12.75">
      <c r="A460" s="1">
        <f t="shared" si="82"/>
      </c>
      <c r="B460" s="2" t="str">
        <f t="shared" si="84"/>
        <v> </v>
      </c>
      <c r="C460" s="2" t="str">
        <f t="shared" si="85"/>
        <v> </v>
      </c>
      <c r="D460" s="3" t="str">
        <f t="shared" si="93"/>
        <v> </v>
      </c>
      <c r="E460" s="3" t="str">
        <f t="shared" si="91"/>
        <v> </v>
      </c>
      <c r="F460" s="3" t="str">
        <f t="shared" si="86"/>
        <v> </v>
      </c>
      <c r="G460" s="3" t="str">
        <f t="shared" si="87"/>
        <v> </v>
      </c>
      <c r="H460" s="32"/>
      <c r="I460" s="32">
        <f>$G$39-SUM($H$39:$H460)</f>
        <v>200000</v>
      </c>
      <c r="J460" s="68"/>
      <c r="K460" s="2" t="str">
        <f t="shared" si="88"/>
        <v> </v>
      </c>
      <c r="L460" s="2" t="str">
        <f t="shared" si="89"/>
        <v> </v>
      </c>
      <c r="M460" s="3" t="str">
        <f>IF(L460&lt;&gt;" ",IF(P459&lt;M459,P459+N460,PMT($O$27,($N$30),-$R459))," ")</f>
        <v> </v>
      </c>
      <c r="N460" s="3" t="str">
        <f t="shared" si="92"/>
        <v> </v>
      </c>
      <c r="O460" s="3" t="str">
        <f t="shared" si="83"/>
        <v> </v>
      </c>
      <c r="P460" s="3" t="str">
        <f t="shared" si="90"/>
        <v> </v>
      </c>
      <c r="Q460" s="32"/>
      <c r="R460" s="32">
        <f>$G$39-SUM($Q$39:$Q460)</f>
        <v>200000</v>
      </c>
    </row>
    <row r="461" spans="1:18" ht="12.75">
      <c r="A461" s="1">
        <f t="shared" si="82"/>
      </c>
      <c r="B461" s="2" t="str">
        <f t="shared" si="84"/>
        <v> </v>
      </c>
      <c r="C461" s="2" t="str">
        <f t="shared" si="85"/>
        <v> </v>
      </c>
      <c r="D461" s="3" t="str">
        <f t="shared" si="93"/>
        <v> </v>
      </c>
      <c r="E461" s="3" t="str">
        <f t="shared" si="91"/>
        <v> </v>
      </c>
      <c r="F461" s="3" t="str">
        <f t="shared" si="86"/>
        <v> </v>
      </c>
      <c r="G461" s="3" t="str">
        <f t="shared" si="87"/>
        <v> </v>
      </c>
      <c r="H461" s="32"/>
      <c r="I461" s="32">
        <f>$G$39-SUM($H$39:$H461)</f>
        <v>200000</v>
      </c>
      <c r="J461" s="68"/>
      <c r="K461" s="2" t="str">
        <f t="shared" si="88"/>
        <v> </v>
      </c>
      <c r="L461" s="2" t="str">
        <f t="shared" si="89"/>
        <v> </v>
      </c>
      <c r="M461" s="3" t="str">
        <f>IF(L461&lt;&gt;" ",IF(P460&lt;M460,P460+N461,PMT($O$27,($N$30),-$R460))," ")</f>
        <v> </v>
      </c>
      <c r="N461" s="3" t="str">
        <f t="shared" si="92"/>
        <v> </v>
      </c>
      <c r="O461" s="3" t="str">
        <f t="shared" si="83"/>
        <v> </v>
      </c>
      <c r="P461" s="3" t="str">
        <f t="shared" si="90"/>
        <v> </v>
      </c>
      <c r="Q461" s="32"/>
      <c r="R461" s="32">
        <f>$G$39-SUM($Q$39:$Q461)</f>
        <v>200000</v>
      </c>
    </row>
    <row r="462" spans="1:18" ht="12.75">
      <c r="A462" s="1">
        <f t="shared" si="82"/>
      </c>
      <c r="B462" s="2" t="str">
        <f t="shared" si="84"/>
        <v> </v>
      </c>
      <c r="C462" s="2" t="str">
        <f t="shared" si="85"/>
        <v> </v>
      </c>
      <c r="D462" s="3" t="str">
        <f t="shared" si="93"/>
        <v> </v>
      </c>
      <c r="E462" s="3" t="str">
        <f t="shared" si="91"/>
        <v> </v>
      </c>
      <c r="F462" s="3" t="str">
        <f t="shared" si="86"/>
        <v> </v>
      </c>
      <c r="G462" s="3" t="str">
        <f t="shared" si="87"/>
        <v> </v>
      </c>
      <c r="H462" s="32"/>
      <c r="I462" s="32">
        <f>$G$39-SUM($H$39:$H462)</f>
        <v>200000</v>
      </c>
      <c r="J462" s="68"/>
      <c r="K462" s="2" t="str">
        <f t="shared" si="88"/>
        <v> </v>
      </c>
      <c r="L462" s="2" t="str">
        <f t="shared" si="89"/>
        <v> </v>
      </c>
      <c r="M462" s="3" t="str">
        <f>IF(L462&lt;&gt;" ",IF(P461&lt;M461,P461+N462,PMT($O$27,($N$30),-$R461))," ")</f>
        <v> </v>
      </c>
      <c r="N462" s="3" t="str">
        <f t="shared" si="92"/>
        <v> </v>
      </c>
      <c r="O462" s="3" t="str">
        <f t="shared" si="83"/>
        <v> </v>
      </c>
      <c r="P462" s="3" t="str">
        <f t="shared" si="90"/>
        <v> </v>
      </c>
      <c r="Q462" s="32"/>
      <c r="R462" s="32">
        <f>$G$39-SUM($Q$39:$Q462)</f>
        <v>200000</v>
      </c>
    </row>
    <row r="463" spans="1:18" ht="12.75">
      <c r="A463" s="1">
        <f t="shared" si="82"/>
      </c>
      <c r="B463" s="2" t="str">
        <f t="shared" si="84"/>
        <v> </v>
      </c>
      <c r="C463" s="2" t="str">
        <f t="shared" si="85"/>
        <v> </v>
      </c>
      <c r="D463" s="3" t="str">
        <f t="shared" si="93"/>
        <v> </v>
      </c>
      <c r="E463" s="3" t="str">
        <f t="shared" si="91"/>
        <v> </v>
      </c>
      <c r="F463" s="3" t="str">
        <f t="shared" si="86"/>
        <v> </v>
      </c>
      <c r="G463" s="3" t="str">
        <f t="shared" si="87"/>
        <v> </v>
      </c>
      <c r="H463" s="32"/>
      <c r="I463" s="32">
        <f>$G$39-SUM($H$39:$H463)</f>
        <v>200000</v>
      </c>
      <c r="J463" s="68"/>
      <c r="K463" s="2" t="str">
        <f t="shared" si="88"/>
        <v> </v>
      </c>
      <c r="L463" s="2" t="str">
        <f t="shared" si="89"/>
        <v> </v>
      </c>
      <c r="M463" s="3" t="str">
        <f>IF(L463&lt;&gt;" ",IF(P462&lt;M462,P462+N463,PMT($O$27,($N$30),-$R462))," ")</f>
        <v> </v>
      </c>
      <c r="N463" s="3" t="str">
        <f t="shared" si="92"/>
        <v> </v>
      </c>
      <c r="O463" s="3" t="str">
        <f t="shared" si="83"/>
        <v> </v>
      </c>
      <c r="P463" s="3" t="str">
        <f t="shared" si="90"/>
        <v> </v>
      </c>
      <c r="Q463" s="32"/>
      <c r="R463" s="32">
        <f>$G$39-SUM($Q$39:$Q463)</f>
        <v>200000</v>
      </c>
    </row>
    <row r="464" spans="1:18" ht="12.75">
      <c r="A464" s="1">
        <f t="shared" si="82"/>
      </c>
      <c r="B464" s="2" t="str">
        <f t="shared" si="84"/>
        <v> </v>
      </c>
      <c r="C464" s="2" t="str">
        <f t="shared" si="85"/>
        <v> </v>
      </c>
      <c r="D464" s="3" t="str">
        <f t="shared" si="93"/>
        <v> </v>
      </c>
      <c r="E464" s="3" t="str">
        <f t="shared" si="91"/>
        <v> </v>
      </c>
      <c r="F464" s="3" t="str">
        <f t="shared" si="86"/>
        <v> </v>
      </c>
      <c r="G464" s="3" t="str">
        <f t="shared" si="87"/>
        <v> </v>
      </c>
      <c r="H464" s="32"/>
      <c r="I464" s="32">
        <f>$G$39-SUM($H$39:$H464)</f>
        <v>200000</v>
      </c>
      <c r="J464" s="68"/>
      <c r="K464" s="2" t="str">
        <f t="shared" si="88"/>
        <v> </v>
      </c>
      <c r="L464" s="2" t="str">
        <f t="shared" si="89"/>
        <v> </v>
      </c>
      <c r="M464" s="3" t="str">
        <f>IF(L464&lt;&gt;" ",IF(P463&lt;M463,P463+N464,PMT($O$27,($N$30),-$R463))," ")</f>
        <v> </v>
      </c>
      <c r="N464" s="3" t="str">
        <f t="shared" si="92"/>
        <v> </v>
      </c>
      <c r="O464" s="3" t="str">
        <f t="shared" si="83"/>
        <v> </v>
      </c>
      <c r="P464" s="3" t="str">
        <f t="shared" si="90"/>
        <v> </v>
      </c>
      <c r="Q464" s="32"/>
      <c r="R464" s="32">
        <f>$G$39-SUM($Q$39:$Q464)</f>
        <v>200000</v>
      </c>
    </row>
    <row r="465" spans="1:18" ht="12.75">
      <c r="A465" s="1">
        <f aca="true" t="shared" si="94" ref="A465:A519">IF(B465&lt;&gt;" ",DATE(YEAR(A464),MONTH(A464)+1,DAY(A464)),"")</f>
      </c>
      <c r="B465" s="2" t="str">
        <f t="shared" si="84"/>
        <v> </v>
      </c>
      <c r="C465" s="2" t="str">
        <f t="shared" si="85"/>
        <v> </v>
      </c>
      <c r="D465" s="3" t="str">
        <f t="shared" si="93"/>
        <v> </v>
      </c>
      <c r="E465" s="3" t="str">
        <f t="shared" si="91"/>
        <v> </v>
      </c>
      <c r="F465" s="3" t="str">
        <f t="shared" si="86"/>
        <v> </v>
      </c>
      <c r="G465" s="3" t="str">
        <f t="shared" si="87"/>
        <v> </v>
      </c>
      <c r="H465" s="32"/>
      <c r="I465" s="32">
        <f>$G$39-SUM($H$39:$H465)</f>
        <v>200000</v>
      </c>
      <c r="J465" s="68"/>
      <c r="K465" s="2" t="str">
        <f t="shared" si="88"/>
        <v> </v>
      </c>
      <c r="L465" s="2" t="str">
        <f t="shared" si="89"/>
        <v> </v>
      </c>
      <c r="M465" s="3" t="str">
        <f>IF(L465&lt;&gt;" ",IF(P464&lt;M464,P464+N465,PMT($O$27,($N$30),-$R464))," ")</f>
        <v> </v>
      </c>
      <c r="N465" s="3" t="str">
        <f t="shared" si="92"/>
        <v> </v>
      </c>
      <c r="O465" s="3" t="str">
        <f aca="true" t="shared" si="95" ref="O465:O487">IF(L465&lt;&gt;" ",M465-N465+Q465," ")</f>
        <v> </v>
      </c>
      <c r="P465" s="3" t="str">
        <f t="shared" si="90"/>
        <v> </v>
      </c>
      <c r="Q465" s="32"/>
      <c r="R465" s="32">
        <f>$G$39-SUM($Q$39:$Q465)</f>
        <v>200000</v>
      </c>
    </row>
    <row r="466" spans="1:18" ht="12.75">
      <c r="A466" s="1">
        <f t="shared" si="94"/>
      </c>
      <c r="B466" s="2" t="str">
        <f t="shared" si="84"/>
        <v> </v>
      </c>
      <c r="C466" s="2" t="str">
        <f t="shared" si="85"/>
        <v> </v>
      </c>
      <c r="D466" s="3" t="str">
        <f t="shared" si="93"/>
        <v> </v>
      </c>
      <c r="E466" s="3" t="str">
        <f t="shared" si="91"/>
        <v> </v>
      </c>
      <c r="F466" s="3" t="str">
        <f t="shared" si="86"/>
        <v> </v>
      </c>
      <c r="G466" s="3" t="str">
        <f t="shared" si="87"/>
        <v> </v>
      </c>
      <c r="H466" s="32"/>
      <c r="I466" s="32">
        <f>$G$39-SUM($H$39:$H466)</f>
        <v>200000</v>
      </c>
      <c r="J466" s="68"/>
      <c r="K466" s="2" t="str">
        <f t="shared" si="88"/>
        <v> </v>
      </c>
      <c r="L466" s="2" t="str">
        <f t="shared" si="89"/>
        <v> </v>
      </c>
      <c r="M466" s="3" t="str">
        <f>IF(L466&lt;&gt;" ",IF(P465&lt;M465,P465+N466,PMT($O$27,($N$30),-$R465))," ")</f>
        <v> </v>
      </c>
      <c r="N466" s="3" t="str">
        <f t="shared" si="92"/>
        <v> </v>
      </c>
      <c r="O466" s="3" t="str">
        <f t="shared" si="95"/>
        <v> </v>
      </c>
      <c r="P466" s="3" t="str">
        <f t="shared" si="90"/>
        <v> </v>
      </c>
      <c r="Q466" s="32"/>
      <c r="R466" s="32">
        <f>$G$39-SUM($Q$39:$Q466)</f>
        <v>200000</v>
      </c>
    </row>
    <row r="467" spans="1:18" ht="12.75">
      <c r="A467" s="1">
        <f t="shared" si="94"/>
      </c>
      <c r="B467" s="2" t="str">
        <f t="shared" si="84"/>
        <v> </v>
      </c>
      <c r="C467" s="2" t="str">
        <f t="shared" si="85"/>
        <v> </v>
      </c>
      <c r="D467" s="3" t="str">
        <f t="shared" si="93"/>
        <v> </v>
      </c>
      <c r="E467" s="3" t="str">
        <f t="shared" si="91"/>
        <v> </v>
      </c>
      <c r="F467" s="3" t="str">
        <f t="shared" si="86"/>
        <v> </v>
      </c>
      <c r="G467" s="3" t="str">
        <f t="shared" si="87"/>
        <v> </v>
      </c>
      <c r="H467" s="32"/>
      <c r="I467" s="32">
        <f>$G$39-SUM($H$39:$H467)</f>
        <v>200000</v>
      </c>
      <c r="J467" s="68"/>
      <c r="K467" s="2" t="str">
        <f t="shared" si="88"/>
        <v> </v>
      </c>
      <c r="L467" s="2" t="str">
        <f t="shared" si="89"/>
        <v> </v>
      </c>
      <c r="M467" s="3" t="str">
        <f>IF(L467&lt;&gt;" ",IF(P466&lt;M466,P466+N467,PMT($O$27,($N$30),-$R466))," ")</f>
        <v> </v>
      </c>
      <c r="N467" s="3" t="str">
        <f t="shared" si="92"/>
        <v> </v>
      </c>
      <c r="O467" s="3" t="str">
        <f t="shared" si="95"/>
        <v> </v>
      </c>
      <c r="P467" s="3" t="str">
        <f t="shared" si="90"/>
        <v> </v>
      </c>
      <c r="Q467" s="32"/>
      <c r="R467" s="32">
        <f>$G$39-SUM($Q$39:$Q467)</f>
        <v>200000</v>
      </c>
    </row>
    <row r="468" spans="1:18" ht="12.75">
      <c r="A468" s="1">
        <f t="shared" si="94"/>
      </c>
      <c r="B468" s="2" t="str">
        <f t="shared" si="84"/>
        <v> </v>
      </c>
      <c r="C468" s="2" t="str">
        <f t="shared" si="85"/>
        <v> </v>
      </c>
      <c r="D468" s="3" t="str">
        <f t="shared" si="93"/>
        <v> </v>
      </c>
      <c r="E468" s="3" t="str">
        <f t="shared" si="91"/>
        <v> </v>
      </c>
      <c r="F468" s="3" t="str">
        <f t="shared" si="86"/>
        <v> </v>
      </c>
      <c r="G468" s="3" t="str">
        <f t="shared" si="87"/>
        <v> </v>
      </c>
      <c r="H468" s="32"/>
      <c r="I468" s="32">
        <f>$G$39-SUM($H$39:$H468)</f>
        <v>200000</v>
      </c>
      <c r="J468" s="68"/>
      <c r="K468" s="2" t="str">
        <f t="shared" si="88"/>
        <v> </v>
      </c>
      <c r="L468" s="2" t="str">
        <f t="shared" si="89"/>
        <v> </v>
      </c>
      <c r="M468" s="3" t="str">
        <f>IF(L468&lt;&gt;" ",IF(P467&lt;M467,P467+N468,PMT($O$27,($N$30),-$R467))," ")</f>
        <v> </v>
      </c>
      <c r="N468" s="3" t="str">
        <f t="shared" si="92"/>
        <v> </v>
      </c>
      <c r="O468" s="3" t="str">
        <f t="shared" si="95"/>
        <v> </v>
      </c>
      <c r="P468" s="3" t="str">
        <f t="shared" si="90"/>
        <v> </v>
      </c>
      <c r="Q468" s="32"/>
      <c r="R468" s="32">
        <f>$G$39-SUM($Q$39:$Q468)</f>
        <v>200000</v>
      </c>
    </row>
    <row r="469" spans="1:18" ht="12.75">
      <c r="A469" s="1">
        <f t="shared" si="94"/>
      </c>
      <c r="B469" s="2" t="str">
        <f t="shared" si="84"/>
        <v> </v>
      </c>
      <c r="C469" s="2" t="str">
        <f t="shared" si="85"/>
        <v> </v>
      </c>
      <c r="D469" s="3" t="str">
        <f t="shared" si="93"/>
        <v> </v>
      </c>
      <c r="E469" s="3" t="str">
        <f t="shared" si="91"/>
        <v> </v>
      </c>
      <c r="F469" s="3" t="str">
        <f t="shared" si="86"/>
        <v> </v>
      </c>
      <c r="G469" s="3" t="str">
        <f t="shared" si="87"/>
        <v> </v>
      </c>
      <c r="H469" s="32"/>
      <c r="I469" s="32">
        <f>$G$39-SUM($H$39:$H469)</f>
        <v>200000</v>
      </c>
      <c r="J469" s="68"/>
      <c r="K469" s="2" t="str">
        <f t="shared" si="88"/>
        <v> </v>
      </c>
      <c r="L469" s="2" t="str">
        <f t="shared" si="89"/>
        <v> </v>
      </c>
      <c r="M469" s="3" t="str">
        <f>IF(L469&lt;&gt;" ",IF(P468&lt;M468,P468+N469,PMT($O$27,($N$30),-$R468))," ")</f>
        <v> </v>
      </c>
      <c r="N469" s="3" t="str">
        <f t="shared" si="92"/>
        <v> </v>
      </c>
      <c r="O469" s="3" t="str">
        <f t="shared" si="95"/>
        <v> </v>
      </c>
      <c r="P469" s="3" t="str">
        <f t="shared" si="90"/>
        <v> </v>
      </c>
      <c r="Q469" s="32"/>
      <c r="R469" s="32">
        <f>$G$39-SUM($Q$39:$Q469)</f>
        <v>200000</v>
      </c>
    </row>
    <row r="470" spans="1:18" ht="12.75">
      <c r="A470" s="1">
        <f t="shared" si="94"/>
      </c>
      <c r="B470" s="2" t="str">
        <f t="shared" si="84"/>
        <v> </v>
      </c>
      <c r="C470" s="2" t="str">
        <f t="shared" si="85"/>
        <v> </v>
      </c>
      <c r="D470" s="3" t="str">
        <f t="shared" si="93"/>
        <v> </v>
      </c>
      <c r="E470" s="3" t="str">
        <f t="shared" si="91"/>
        <v> </v>
      </c>
      <c r="F470" s="3" t="str">
        <f t="shared" si="86"/>
        <v> </v>
      </c>
      <c r="G470" s="3" t="str">
        <f t="shared" si="87"/>
        <v> </v>
      </c>
      <c r="H470" s="32"/>
      <c r="I470" s="32">
        <f>$G$39-SUM($H$39:$H470)</f>
        <v>200000</v>
      </c>
      <c r="J470" s="68"/>
      <c r="K470" s="2" t="str">
        <f t="shared" si="88"/>
        <v> </v>
      </c>
      <c r="L470" s="2" t="str">
        <f t="shared" si="89"/>
        <v> </v>
      </c>
      <c r="M470" s="3" t="str">
        <f>IF(L470&lt;&gt;" ",IF(P469&lt;M469,P469+N470,PMT($O$27,($N$30),-$R469))," ")</f>
        <v> </v>
      </c>
      <c r="N470" s="3" t="str">
        <f t="shared" si="92"/>
        <v> </v>
      </c>
      <c r="O470" s="3" t="str">
        <f t="shared" si="95"/>
        <v> </v>
      </c>
      <c r="P470" s="3" t="str">
        <f t="shared" si="90"/>
        <v> </v>
      </c>
      <c r="Q470" s="32"/>
      <c r="R470" s="32">
        <f>$G$39-SUM($Q$39:$Q470)</f>
        <v>200000</v>
      </c>
    </row>
    <row r="471" spans="1:18" ht="12.75">
      <c r="A471" s="1">
        <f t="shared" si="94"/>
      </c>
      <c r="B471" s="2" t="str">
        <f t="shared" si="84"/>
        <v> </v>
      </c>
      <c r="C471" s="2" t="str">
        <f t="shared" si="85"/>
        <v> </v>
      </c>
      <c r="D471" s="3" t="str">
        <f t="shared" si="93"/>
        <v> </v>
      </c>
      <c r="E471" s="3" t="str">
        <f t="shared" si="91"/>
        <v> </v>
      </c>
      <c r="F471" s="3" t="str">
        <f t="shared" si="86"/>
        <v> </v>
      </c>
      <c r="G471" s="3" t="str">
        <f t="shared" si="87"/>
        <v> </v>
      </c>
      <c r="H471" s="32"/>
      <c r="I471" s="32">
        <f>$G$39-SUM($H$39:$H471)</f>
        <v>200000</v>
      </c>
      <c r="J471" s="68"/>
      <c r="K471" s="2" t="str">
        <f t="shared" si="88"/>
        <v> </v>
      </c>
      <c r="L471" s="2" t="str">
        <f t="shared" si="89"/>
        <v> </v>
      </c>
      <c r="M471" s="3" t="str">
        <f>IF(L471&lt;&gt;" ",IF(P470&lt;M470,P470+N471,PMT($O$27,($N$30),-$R470))," ")</f>
        <v> </v>
      </c>
      <c r="N471" s="3" t="str">
        <f t="shared" si="92"/>
        <v> </v>
      </c>
      <c r="O471" s="3" t="str">
        <f t="shared" si="95"/>
        <v> </v>
      </c>
      <c r="P471" s="3" t="str">
        <f t="shared" si="90"/>
        <v> </v>
      </c>
      <c r="Q471" s="32"/>
      <c r="R471" s="32">
        <f>$G$39-SUM($Q$39:$Q471)</f>
        <v>200000</v>
      </c>
    </row>
    <row r="472" spans="1:18" ht="12.75">
      <c r="A472" s="1">
        <f t="shared" si="94"/>
      </c>
      <c r="B472" s="2" t="str">
        <f t="shared" si="84"/>
        <v> </v>
      </c>
      <c r="C472" s="2" t="str">
        <f t="shared" si="85"/>
        <v> </v>
      </c>
      <c r="D472" s="3" t="str">
        <f t="shared" si="93"/>
        <v> </v>
      </c>
      <c r="E472" s="3" t="str">
        <f t="shared" si="91"/>
        <v> </v>
      </c>
      <c r="F472" s="3" t="str">
        <f t="shared" si="86"/>
        <v> </v>
      </c>
      <c r="G472" s="3" t="str">
        <f t="shared" si="87"/>
        <v> </v>
      </c>
      <c r="H472" s="32"/>
      <c r="I472" s="32">
        <f>$G$39-SUM($H$39:$H472)</f>
        <v>200000</v>
      </c>
      <c r="J472" s="68"/>
      <c r="K472" s="2" t="str">
        <f t="shared" si="88"/>
        <v> </v>
      </c>
      <c r="L472" s="2" t="str">
        <f t="shared" si="89"/>
        <v> </v>
      </c>
      <c r="M472" s="3" t="str">
        <f>IF(L472&lt;&gt;" ",IF(P471&lt;M471,P471+N472,PMT($O$27,($N$30),-$R471))," ")</f>
        <v> </v>
      </c>
      <c r="N472" s="3" t="str">
        <f t="shared" si="92"/>
        <v> </v>
      </c>
      <c r="O472" s="3" t="str">
        <f t="shared" si="95"/>
        <v> </v>
      </c>
      <c r="P472" s="3" t="str">
        <f t="shared" si="90"/>
        <v> </v>
      </c>
      <c r="Q472" s="32"/>
      <c r="R472" s="32">
        <f>$G$39-SUM($Q$39:$Q472)</f>
        <v>200000</v>
      </c>
    </row>
    <row r="473" spans="1:18" ht="12.75">
      <c r="A473" s="1">
        <f t="shared" si="94"/>
      </c>
      <c r="B473" s="2" t="str">
        <f t="shared" si="84"/>
        <v> </v>
      </c>
      <c r="C473" s="2" t="str">
        <f t="shared" si="85"/>
        <v> </v>
      </c>
      <c r="D473" s="3" t="str">
        <f t="shared" si="93"/>
        <v> </v>
      </c>
      <c r="E473" s="3" t="str">
        <f t="shared" si="91"/>
        <v> </v>
      </c>
      <c r="F473" s="3" t="str">
        <f t="shared" si="86"/>
        <v> </v>
      </c>
      <c r="G473" s="3" t="str">
        <f t="shared" si="87"/>
        <v> </v>
      </c>
      <c r="H473" s="32"/>
      <c r="I473" s="32">
        <f>$G$39-SUM($H$39:$H473)</f>
        <v>200000</v>
      </c>
      <c r="J473" s="68"/>
      <c r="K473" s="2" t="str">
        <f t="shared" si="88"/>
        <v> </v>
      </c>
      <c r="L473" s="2" t="str">
        <f t="shared" si="89"/>
        <v> </v>
      </c>
      <c r="M473" s="3" t="str">
        <f>IF(L473&lt;&gt;" ",IF(P472&lt;M472,P472+N473,PMT($O$27,($N$30),-$R472))," ")</f>
        <v> </v>
      </c>
      <c r="N473" s="3" t="str">
        <f t="shared" si="92"/>
        <v> </v>
      </c>
      <c r="O473" s="3" t="str">
        <f t="shared" si="95"/>
        <v> </v>
      </c>
      <c r="P473" s="3" t="str">
        <f t="shared" si="90"/>
        <v> </v>
      </c>
      <c r="Q473" s="32"/>
      <c r="R473" s="32">
        <f>$G$39-SUM($Q$39:$Q473)</f>
        <v>200000</v>
      </c>
    </row>
    <row r="474" spans="1:18" ht="12.75">
      <c r="A474" s="1">
        <f t="shared" si="94"/>
      </c>
      <c r="B474" s="2" t="str">
        <f t="shared" si="84"/>
        <v> </v>
      </c>
      <c r="C474" s="2" t="str">
        <f t="shared" si="85"/>
        <v> </v>
      </c>
      <c r="D474" s="3" t="str">
        <f t="shared" si="93"/>
        <v> </v>
      </c>
      <c r="E474" s="3" t="str">
        <f t="shared" si="91"/>
        <v> </v>
      </c>
      <c r="F474" s="3" t="str">
        <f t="shared" si="86"/>
        <v> </v>
      </c>
      <c r="G474" s="3" t="str">
        <f t="shared" si="87"/>
        <v> </v>
      </c>
      <c r="H474" s="32"/>
      <c r="I474" s="32">
        <f>$G$39-SUM($H$39:$H474)</f>
        <v>200000</v>
      </c>
      <c r="J474" s="68"/>
      <c r="K474" s="2" t="str">
        <f t="shared" si="88"/>
        <v> </v>
      </c>
      <c r="L474" s="2" t="str">
        <f t="shared" si="89"/>
        <v> </v>
      </c>
      <c r="M474" s="3" t="str">
        <f>IF(L474&lt;&gt;" ",IF(P473&lt;M473,P473+N474,PMT($O$27,($N$30),-$R473))," ")</f>
        <v> </v>
      </c>
      <c r="N474" s="3" t="str">
        <f t="shared" si="92"/>
        <v> </v>
      </c>
      <c r="O474" s="3" t="str">
        <f t="shared" si="95"/>
        <v> </v>
      </c>
      <c r="P474" s="3" t="str">
        <f t="shared" si="90"/>
        <v> </v>
      </c>
      <c r="Q474" s="32"/>
      <c r="R474" s="32">
        <f>$G$39-SUM($Q$39:$Q474)</f>
        <v>200000</v>
      </c>
    </row>
    <row r="475" spans="1:18" ht="12.75">
      <c r="A475" s="1">
        <f t="shared" si="94"/>
      </c>
      <c r="B475" s="2" t="str">
        <f t="shared" si="84"/>
        <v> </v>
      </c>
      <c r="C475" s="2" t="str">
        <f t="shared" si="85"/>
        <v> </v>
      </c>
      <c r="D475" s="3" t="str">
        <f t="shared" si="93"/>
        <v> </v>
      </c>
      <c r="E475" s="3" t="str">
        <f t="shared" si="91"/>
        <v> </v>
      </c>
      <c r="F475" s="3" t="str">
        <f t="shared" si="86"/>
        <v> </v>
      </c>
      <c r="G475" s="3" t="str">
        <f t="shared" si="87"/>
        <v> </v>
      </c>
      <c r="H475" s="32"/>
      <c r="I475" s="32">
        <f>$G$39-SUM($H$39:$H475)</f>
        <v>200000</v>
      </c>
      <c r="J475" s="68"/>
      <c r="K475" s="2" t="str">
        <f t="shared" si="88"/>
        <v> </v>
      </c>
      <c r="L475" s="2" t="str">
        <f t="shared" si="89"/>
        <v> </v>
      </c>
      <c r="M475" s="3" t="str">
        <f>IF(L475&lt;&gt;" ",IF(P474&lt;M474,P474+N475,PMT($O$27,($N$30),-$R474))," ")</f>
        <v> </v>
      </c>
      <c r="N475" s="3" t="str">
        <f t="shared" si="92"/>
        <v> </v>
      </c>
      <c r="O475" s="3" t="str">
        <f t="shared" si="95"/>
        <v> </v>
      </c>
      <c r="P475" s="3" t="str">
        <f t="shared" si="90"/>
        <v> </v>
      </c>
      <c r="Q475" s="32"/>
      <c r="R475" s="32">
        <f>$G$39-SUM($Q$39:$Q475)</f>
        <v>200000</v>
      </c>
    </row>
    <row r="476" spans="1:18" ht="12.75">
      <c r="A476" s="1">
        <f t="shared" si="94"/>
      </c>
      <c r="B476" s="2" t="str">
        <f t="shared" si="84"/>
        <v> </v>
      </c>
      <c r="C476" s="2" t="str">
        <f t="shared" si="85"/>
        <v> </v>
      </c>
      <c r="D476" s="3" t="str">
        <f t="shared" si="93"/>
        <v> </v>
      </c>
      <c r="E476" s="3" t="str">
        <f t="shared" si="91"/>
        <v> </v>
      </c>
      <c r="F476" s="3" t="str">
        <f t="shared" si="86"/>
        <v> </v>
      </c>
      <c r="G476" s="3" t="str">
        <f t="shared" si="87"/>
        <v> </v>
      </c>
      <c r="H476" s="32"/>
      <c r="I476" s="32">
        <f>$G$39-SUM($H$39:$H476)</f>
        <v>200000</v>
      </c>
      <c r="J476" s="68"/>
      <c r="K476" s="2" t="str">
        <f t="shared" si="88"/>
        <v> </v>
      </c>
      <c r="L476" s="2" t="str">
        <f t="shared" si="89"/>
        <v> </v>
      </c>
      <c r="M476" s="3" t="str">
        <f>IF(L476&lt;&gt;" ",IF(P475&lt;M475,P475+N476,PMT($O$27,($N$30),-$R475))," ")</f>
        <v> </v>
      </c>
      <c r="N476" s="3" t="str">
        <f t="shared" si="92"/>
        <v> </v>
      </c>
      <c r="O476" s="3" t="str">
        <f t="shared" si="95"/>
        <v> </v>
      </c>
      <c r="P476" s="3" t="str">
        <f t="shared" si="90"/>
        <v> </v>
      </c>
      <c r="Q476" s="32"/>
      <c r="R476" s="32">
        <f>$G$39-SUM($Q$39:$Q476)</f>
        <v>200000</v>
      </c>
    </row>
    <row r="477" spans="1:18" ht="12.75">
      <c r="A477" s="1">
        <f t="shared" si="94"/>
      </c>
      <c r="B477" s="2" t="str">
        <f t="shared" si="84"/>
        <v> </v>
      </c>
      <c r="C477" s="2" t="str">
        <f t="shared" si="85"/>
        <v> </v>
      </c>
      <c r="D477" s="3" t="str">
        <f t="shared" si="93"/>
        <v> </v>
      </c>
      <c r="E477" s="3" t="str">
        <f t="shared" si="91"/>
        <v> </v>
      </c>
      <c r="F477" s="3" t="str">
        <f t="shared" si="86"/>
        <v> </v>
      </c>
      <c r="G477" s="3" t="str">
        <f t="shared" si="87"/>
        <v> </v>
      </c>
      <c r="H477" s="32"/>
      <c r="I477" s="32">
        <f>$G$39-SUM($H$39:$H477)</f>
        <v>200000</v>
      </c>
      <c r="J477" s="68"/>
      <c r="K477" s="2" t="str">
        <f t="shared" si="88"/>
        <v> </v>
      </c>
      <c r="L477" s="2" t="str">
        <f t="shared" si="89"/>
        <v> </v>
      </c>
      <c r="M477" s="3" t="str">
        <f>IF(L477&lt;&gt;" ",IF(P476&lt;M476,P476+N477,PMT($O$27,($N$30),-$R476))," ")</f>
        <v> </v>
      </c>
      <c r="N477" s="3" t="str">
        <f t="shared" si="92"/>
        <v> </v>
      </c>
      <c r="O477" s="3" t="str">
        <f t="shared" si="95"/>
        <v> </v>
      </c>
      <c r="P477" s="3" t="str">
        <f t="shared" si="90"/>
        <v> </v>
      </c>
      <c r="Q477" s="32"/>
      <c r="R477" s="32">
        <f>$G$39-SUM($Q$39:$Q477)</f>
        <v>200000</v>
      </c>
    </row>
    <row r="478" spans="1:18" ht="12.75">
      <c r="A478" s="1">
        <f t="shared" si="94"/>
      </c>
      <c r="B478" s="2" t="str">
        <f t="shared" si="84"/>
        <v> </v>
      </c>
      <c r="C478" s="2" t="str">
        <f t="shared" si="85"/>
        <v> </v>
      </c>
      <c r="D478" s="3" t="str">
        <f t="shared" si="93"/>
        <v> </v>
      </c>
      <c r="E478" s="3" t="str">
        <f t="shared" si="91"/>
        <v> </v>
      </c>
      <c r="F478" s="3" t="str">
        <f t="shared" si="86"/>
        <v> </v>
      </c>
      <c r="G478" s="3" t="str">
        <f t="shared" si="87"/>
        <v> </v>
      </c>
      <c r="H478" s="32"/>
      <c r="I478" s="32">
        <f>$G$39-SUM($H$39:$H478)</f>
        <v>200000</v>
      </c>
      <c r="J478" s="68"/>
      <c r="K478" s="2" t="str">
        <f t="shared" si="88"/>
        <v> </v>
      </c>
      <c r="L478" s="2" t="str">
        <f t="shared" si="89"/>
        <v> </v>
      </c>
      <c r="M478" s="3" t="str">
        <f>IF(L478&lt;&gt;" ",IF(P477&lt;M477,P477+N478,PMT($O$27,($N$30),-$R477))," ")</f>
        <v> </v>
      </c>
      <c r="N478" s="3" t="str">
        <f t="shared" si="92"/>
        <v> </v>
      </c>
      <c r="O478" s="3" t="str">
        <f t="shared" si="95"/>
        <v> </v>
      </c>
      <c r="P478" s="3" t="str">
        <f t="shared" si="90"/>
        <v> </v>
      </c>
      <c r="Q478" s="32"/>
      <c r="R478" s="32">
        <f>$G$39-SUM($Q$39:$Q478)</f>
        <v>200000</v>
      </c>
    </row>
    <row r="479" spans="1:18" ht="12.75">
      <c r="A479" s="1">
        <f t="shared" si="94"/>
      </c>
      <c r="B479" s="2" t="str">
        <f t="shared" si="84"/>
        <v> </v>
      </c>
      <c r="C479" s="2" t="str">
        <f t="shared" si="85"/>
        <v> </v>
      </c>
      <c r="D479" s="3" t="str">
        <f t="shared" si="93"/>
        <v> </v>
      </c>
      <c r="E479" s="3" t="str">
        <f t="shared" si="91"/>
        <v> </v>
      </c>
      <c r="F479" s="3" t="str">
        <f t="shared" si="86"/>
        <v> </v>
      </c>
      <c r="G479" s="3" t="str">
        <f t="shared" si="87"/>
        <v> </v>
      </c>
      <c r="H479" s="32"/>
      <c r="I479" s="32">
        <f>$G$39-SUM($H$39:$H479)</f>
        <v>200000</v>
      </c>
      <c r="J479" s="68"/>
      <c r="K479" s="2" t="str">
        <f t="shared" si="88"/>
        <v> </v>
      </c>
      <c r="L479" s="2" t="str">
        <f t="shared" si="89"/>
        <v> </v>
      </c>
      <c r="M479" s="3" t="str">
        <f>IF(L479&lt;&gt;" ",IF(P478&lt;M478,P478+N479,PMT($O$27,($N$30),-$R478))," ")</f>
        <v> </v>
      </c>
      <c r="N479" s="3" t="str">
        <f t="shared" si="92"/>
        <v> </v>
      </c>
      <c r="O479" s="3" t="str">
        <f t="shared" si="95"/>
        <v> </v>
      </c>
      <c r="P479" s="3" t="str">
        <f t="shared" si="90"/>
        <v> </v>
      </c>
      <c r="Q479" s="32"/>
      <c r="R479" s="32">
        <f>$G$39-SUM($Q$39:$Q479)</f>
        <v>200000</v>
      </c>
    </row>
    <row r="480" spans="1:18" ht="12.75">
      <c r="A480" s="1">
        <f t="shared" si="94"/>
      </c>
      <c r="B480" s="2" t="str">
        <f t="shared" si="84"/>
        <v> </v>
      </c>
      <c r="C480" s="2" t="str">
        <f t="shared" si="85"/>
        <v> </v>
      </c>
      <c r="D480" s="3" t="str">
        <f t="shared" si="93"/>
        <v> </v>
      </c>
      <c r="E480" s="3" t="str">
        <f t="shared" si="91"/>
        <v> </v>
      </c>
      <c r="F480" s="3" t="str">
        <f t="shared" si="86"/>
        <v> </v>
      </c>
      <c r="G480" s="3" t="str">
        <f t="shared" si="87"/>
        <v> </v>
      </c>
      <c r="H480" s="32"/>
      <c r="I480" s="32">
        <f>$G$39-SUM($H$39:$H480)</f>
        <v>200000</v>
      </c>
      <c r="J480" s="68"/>
      <c r="K480" s="2" t="str">
        <f t="shared" si="88"/>
        <v> </v>
      </c>
      <c r="L480" s="2" t="str">
        <f t="shared" si="89"/>
        <v> </v>
      </c>
      <c r="M480" s="3" t="str">
        <f>IF(L480&lt;&gt;" ",IF(P479&lt;M479,P479+N480,PMT($O$27,($N$30),-$R479))," ")</f>
        <v> </v>
      </c>
      <c r="N480" s="3" t="str">
        <f t="shared" si="92"/>
        <v> </v>
      </c>
      <c r="O480" s="3" t="str">
        <f t="shared" si="95"/>
        <v> </v>
      </c>
      <c r="P480" s="3" t="str">
        <f t="shared" si="90"/>
        <v> </v>
      </c>
      <c r="Q480" s="32"/>
      <c r="R480" s="32">
        <f>$G$39-SUM($Q$39:$Q480)</f>
        <v>200000</v>
      </c>
    </row>
    <row r="481" spans="1:18" ht="12.75">
      <c r="A481" s="1">
        <f t="shared" si="94"/>
      </c>
      <c r="B481" s="2" t="str">
        <f t="shared" si="84"/>
        <v> </v>
      </c>
      <c r="C481" s="2" t="str">
        <f t="shared" si="85"/>
        <v> </v>
      </c>
      <c r="D481" s="3" t="str">
        <f t="shared" si="93"/>
        <v> </v>
      </c>
      <c r="E481" s="3" t="str">
        <f t="shared" si="91"/>
        <v> </v>
      </c>
      <c r="F481" s="3" t="str">
        <f t="shared" si="86"/>
        <v> </v>
      </c>
      <c r="G481" s="3" t="str">
        <f t="shared" si="87"/>
        <v> </v>
      </c>
      <c r="H481" s="32"/>
      <c r="I481" s="32">
        <f>$G$39-SUM($H$39:$H481)</f>
        <v>200000</v>
      </c>
      <c r="J481" s="68"/>
      <c r="K481" s="2" t="str">
        <f t="shared" si="88"/>
        <v> </v>
      </c>
      <c r="L481" s="2" t="str">
        <f t="shared" si="89"/>
        <v> </v>
      </c>
      <c r="M481" s="3" t="str">
        <f>IF(L481&lt;&gt;" ",IF(P480&lt;M480,P480+N481,PMT($O$27,($N$30),-$R480))," ")</f>
        <v> </v>
      </c>
      <c r="N481" s="3" t="str">
        <f t="shared" si="92"/>
        <v> </v>
      </c>
      <c r="O481" s="3" t="str">
        <f t="shared" si="95"/>
        <v> </v>
      </c>
      <c r="P481" s="3" t="str">
        <f t="shared" si="90"/>
        <v> </v>
      </c>
      <c r="Q481" s="32"/>
      <c r="R481" s="32">
        <f>$G$39-SUM($Q$39:$Q481)</f>
        <v>200000</v>
      </c>
    </row>
    <row r="482" spans="1:18" ht="12.75">
      <c r="A482" s="1">
        <f t="shared" si="94"/>
      </c>
      <c r="B482" s="2" t="str">
        <f t="shared" si="84"/>
        <v> </v>
      </c>
      <c r="C482" s="2" t="str">
        <f t="shared" si="85"/>
        <v> </v>
      </c>
      <c r="D482" s="3" t="str">
        <f t="shared" si="93"/>
        <v> </v>
      </c>
      <c r="E482" s="3" t="str">
        <f t="shared" si="91"/>
        <v> </v>
      </c>
      <c r="F482" s="3" t="str">
        <f t="shared" si="86"/>
        <v> </v>
      </c>
      <c r="G482" s="3" t="str">
        <f t="shared" si="87"/>
        <v> </v>
      </c>
      <c r="H482" s="32"/>
      <c r="I482" s="32">
        <f>$G$39-SUM($H$39:$H482)</f>
        <v>200000</v>
      </c>
      <c r="J482" s="68"/>
      <c r="K482" s="2" t="str">
        <f t="shared" si="88"/>
        <v> </v>
      </c>
      <c r="L482" s="2" t="str">
        <f t="shared" si="89"/>
        <v> </v>
      </c>
      <c r="M482" s="3" t="str">
        <f>IF(L482&lt;&gt;" ",IF(P481&lt;M481,P481+N482,PMT($O$27,($N$30),-$R481))," ")</f>
        <v> </v>
      </c>
      <c r="N482" s="3" t="str">
        <f t="shared" si="92"/>
        <v> </v>
      </c>
      <c r="O482" s="3" t="str">
        <f t="shared" si="95"/>
        <v> </v>
      </c>
      <c r="P482" s="3" t="str">
        <f t="shared" si="90"/>
        <v> </v>
      </c>
      <c r="Q482" s="32"/>
      <c r="R482" s="32">
        <f>$G$39-SUM($Q$39:$Q482)</f>
        <v>200000</v>
      </c>
    </row>
    <row r="483" spans="1:18" ht="12.75">
      <c r="A483" s="1">
        <f t="shared" si="94"/>
      </c>
      <c r="B483" s="2" t="str">
        <f t="shared" si="84"/>
        <v> </v>
      </c>
      <c r="C483" s="2" t="str">
        <f t="shared" si="85"/>
        <v> </v>
      </c>
      <c r="D483" s="3" t="str">
        <f t="shared" si="93"/>
        <v> </v>
      </c>
      <c r="E483" s="3" t="str">
        <f t="shared" si="91"/>
        <v> </v>
      </c>
      <c r="F483" s="3" t="str">
        <f t="shared" si="86"/>
        <v> </v>
      </c>
      <c r="G483" s="3" t="str">
        <f t="shared" si="87"/>
        <v> </v>
      </c>
      <c r="H483" s="32"/>
      <c r="I483" s="32">
        <f>$G$39-SUM($H$39:$H483)</f>
        <v>200000</v>
      </c>
      <c r="J483" s="68"/>
      <c r="K483" s="2" t="str">
        <f t="shared" si="88"/>
        <v> </v>
      </c>
      <c r="L483" s="2" t="str">
        <f t="shared" si="89"/>
        <v> </v>
      </c>
      <c r="M483" s="3" t="str">
        <f>IF(L483&lt;&gt;" ",IF(P482&lt;M482,P482+N483,PMT($O$27,($N$30),-$R482))," ")</f>
        <v> </v>
      </c>
      <c r="N483" s="3" t="str">
        <f t="shared" si="92"/>
        <v> </v>
      </c>
      <c r="O483" s="3" t="str">
        <f t="shared" si="95"/>
        <v> </v>
      </c>
      <c r="P483" s="3" t="str">
        <f t="shared" si="90"/>
        <v> </v>
      </c>
      <c r="Q483" s="32"/>
      <c r="R483" s="32">
        <f>$G$39-SUM($Q$39:$Q483)</f>
        <v>200000</v>
      </c>
    </row>
    <row r="484" spans="1:18" ht="12.75">
      <c r="A484" s="1">
        <f t="shared" si="94"/>
      </c>
      <c r="B484" s="2" t="str">
        <f t="shared" si="84"/>
        <v> </v>
      </c>
      <c r="C484" s="2" t="str">
        <f t="shared" si="85"/>
        <v> </v>
      </c>
      <c r="D484" s="3" t="str">
        <f t="shared" si="93"/>
        <v> </v>
      </c>
      <c r="E484" s="3" t="str">
        <f t="shared" si="91"/>
        <v> </v>
      </c>
      <c r="F484" s="3" t="str">
        <f t="shared" si="86"/>
        <v> </v>
      </c>
      <c r="G484" s="3" t="str">
        <f t="shared" si="87"/>
        <v> </v>
      </c>
      <c r="H484" s="32"/>
      <c r="I484" s="32">
        <f>$G$39-SUM($H$39:$H484)</f>
        <v>200000</v>
      </c>
      <c r="J484" s="68"/>
      <c r="K484" s="2" t="str">
        <f t="shared" si="88"/>
        <v> </v>
      </c>
      <c r="L484" s="2" t="str">
        <f t="shared" si="89"/>
        <v> </v>
      </c>
      <c r="M484" s="3" t="str">
        <f>IF(L484&lt;&gt;" ",IF(P483&lt;M483,P483+N484,PMT($O$27,($N$30),-$R483))," ")</f>
        <v> </v>
      </c>
      <c r="N484" s="3" t="str">
        <f t="shared" si="92"/>
        <v> </v>
      </c>
      <c r="O484" s="3" t="str">
        <f t="shared" si="95"/>
        <v> </v>
      </c>
      <c r="P484" s="3" t="str">
        <f t="shared" si="90"/>
        <v> </v>
      </c>
      <c r="Q484" s="32"/>
      <c r="R484" s="32">
        <f>$G$39-SUM($Q$39:$Q484)</f>
        <v>200000</v>
      </c>
    </row>
    <row r="485" spans="1:18" ht="12.75">
      <c r="A485" s="1">
        <f t="shared" si="94"/>
      </c>
      <c r="B485" s="2" t="str">
        <f t="shared" si="84"/>
        <v> </v>
      </c>
      <c r="C485" s="2" t="str">
        <f t="shared" si="85"/>
        <v> </v>
      </c>
      <c r="D485" s="3" t="str">
        <f t="shared" si="93"/>
        <v> </v>
      </c>
      <c r="E485" s="3" t="str">
        <f t="shared" si="91"/>
        <v> </v>
      </c>
      <c r="F485" s="3" t="str">
        <f t="shared" si="86"/>
        <v> </v>
      </c>
      <c r="G485" s="3" t="str">
        <f t="shared" si="87"/>
        <v> </v>
      </c>
      <c r="H485" s="32"/>
      <c r="I485" s="32">
        <f>$G$39-SUM($H$39:$H485)</f>
        <v>200000</v>
      </c>
      <c r="J485" s="68"/>
      <c r="K485" s="2" t="str">
        <f t="shared" si="88"/>
        <v> </v>
      </c>
      <c r="L485" s="2" t="str">
        <f t="shared" si="89"/>
        <v> </v>
      </c>
      <c r="M485" s="3" t="str">
        <f>IF(L485&lt;&gt;" ",IF(P484&lt;M484,P484+N485,PMT($O$27,($N$30),-$R484))," ")</f>
        <v> </v>
      </c>
      <c r="N485" s="3" t="str">
        <f t="shared" si="92"/>
        <v> </v>
      </c>
      <c r="O485" s="3" t="str">
        <f t="shared" si="95"/>
        <v> </v>
      </c>
      <c r="P485" s="3" t="str">
        <f t="shared" si="90"/>
        <v> </v>
      </c>
      <c r="Q485" s="32"/>
      <c r="R485" s="32">
        <f>$G$39-SUM($Q$39:$Q485)</f>
        <v>200000</v>
      </c>
    </row>
    <row r="486" spans="1:18" ht="12.75">
      <c r="A486" s="1">
        <f t="shared" si="94"/>
      </c>
      <c r="B486" s="2" t="str">
        <f t="shared" si="84"/>
        <v> </v>
      </c>
      <c r="C486" s="2" t="str">
        <f t="shared" si="85"/>
        <v> </v>
      </c>
      <c r="D486" s="3" t="str">
        <f t="shared" si="93"/>
        <v> </v>
      </c>
      <c r="E486" s="3" t="str">
        <f t="shared" si="91"/>
        <v> </v>
      </c>
      <c r="F486" s="3" t="str">
        <f t="shared" si="86"/>
        <v> </v>
      </c>
      <c r="G486" s="3" t="str">
        <f t="shared" si="87"/>
        <v> </v>
      </c>
      <c r="H486" s="32"/>
      <c r="I486" s="32">
        <f>$G$39-SUM($H$39:$H486)</f>
        <v>200000</v>
      </c>
      <c r="J486" s="68"/>
      <c r="K486" s="2" t="str">
        <f t="shared" si="88"/>
        <v> </v>
      </c>
      <c r="L486" s="2" t="str">
        <f t="shared" si="89"/>
        <v> </v>
      </c>
      <c r="M486" s="3" t="str">
        <f>IF(L486&lt;&gt;" ",IF(P485&lt;M485,P485+N486,PMT($O$27,($N$30),-$R485))," ")</f>
        <v> </v>
      </c>
      <c r="N486" s="3" t="str">
        <f t="shared" si="92"/>
        <v> </v>
      </c>
      <c r="O486" s="3" t="str">
        <f t="shared" si="95"/>
        <v> </v>
      </c>
      <c r="P486" s="3" t="str">
        <f t="shared" si="90"/>
        <v> </v>
      </c>
      <c r="Q486" s="32"/>
      <c r="R486" s="32">
        <f>$G$39-SUM($Q$39:$Q486)</f>
        <v>200000</v>
      </c>
    </row>
    <row r="487" spans="1:18" ht="12.75">
      <c r="A487" s="1">
        <f t="shared" si="94"/>
      </c>
      <c r="B487" s="2" t="str">
        <f t="shared" si="84"/>
        <v> </v>
      </c>
      <c r="C487" s="2" t="str">
        <f t="shared" si="85"/>
        <v> </v>
      </c>
      <c r="D487" s="3" t="str">
        <f t="shared" si="93"/>
        <v> </v>
      </c>
      <c r="E487" s="3" t="str">
        <f t="shared" si="91"/>
        <v> </v>
      </c>
      <c r="F487" s="3" t="str">
        <f t="shared" si="86"/>
        <v> </v>
      </c>
      <c r="G487" s="3" t="str">
        <f t="shared" si="87"/>
        <v> </v>
      </c>
      <c r="H487" s="32"/>
      <c r="I487" s="32">
        <f>$G$39-SUM($H$39:$H487)</f>
        <v>200000</v>
      </c>
      <c r="J487" s="68"/>
      <c r="K487" s="2" t="str">
        <f t="shared" si="88"/>
        <v> </v>
      </c>
      <c r="L487" s="2" t="str">
        <f t="shared" si="89"/>
        <v> </v>
      </c>
      <c r="M487" s="3" t="str">
        <f>IF(L487&lt;&gt;" ",IF(P486&lt;M486,P486+N487,PMT($O$27,($N$30),-$R486))," ")</f>
        <v> </v>
      </c>
      <c r="N487" s="3" t="str">
        <f t="shared" si="92"/>
        <v> </v>
      </c>
      <c r="O487" s="3" t="str">
        <f t="shared" si="95"/>
        <v> </v>
      </c>
      <c r="P487" s="3" t="str">
        <f t="shared" si="90"/>
        <v> </v>
      </c>
      <c r="Q487" s="32"/>
      <c r="R487" s="32">
        <f>$G$39-SUM($Q$39:$Q487)</f>
        <v>200000</v>
      </c>
    </row>
    <row r="488" spans="1:18" ht="12.75">
      <c r="A488" s="1">
        <f t="shared" si="94"/>
      </c>
      <c r="B488" s="2" t="str">
        <f t="shared" si="84"/>
        <v> </v>
      </c>
      <c r="C488" s="2" t="str">
        <f t="shared" si="85"/>
        <v> </v>
      </c>
      <c r="D488" s="3" t="str">
        <f t="shared" si="93"/>
        <v> </v>
      </c>
      <c r="E488" s="3" t="str">
        <f t="shared" si="91"/>
        <v> </v>
      </c>
      <c r="F488" s="3" t="str">
        <f t="shared" si="86"/>
        <v> </v>
      </c>
      <c r="G488" s="3" t="str">
        <f t="shared" si="87"/>
        <v> </v>
      </c>
      <c r="H488" s="32"/>
      <c r="I488" s="32">
        <f>$G$39-SUM($H$39:$H488)</f>
        <v>200000</v>
      </c>
      <c r="J488" s="68"/>
      <c r="K488" s="2" t="str">
        <f t="shared" si="88"/>
        <v> </v>
      </c>
      <c r="L488" s="2" t="str">
        <f t="shared" si="89"/>
        <v> </v>
      </c>
      <c r="M488" s="3" t="str">
        <f>IF(L488&lt;&gt;" ",IF(P487&lt;M487,P487+N488,PMT($O$27,($N$30),-$R487))," ")</f>
        <v> </v>
      </c>
      <c r="N488" s="3" t="str">
        <f t="shared" si="92"/>
        <v> </v>
      </c>
      <c r="O488" s="3" t="str">
        <f aca="true" t="shared" si="96" ref="O488:O519">IF(L488&lt;&gt;" ",M488-N488+Q488," ")</f>
        <v> </v>
      </c>
      <c r="P488" s="3" t="str">
        <f t="shared" si="90"/>
        <v> </v>
      </c>
      <c r="Q488" s="32"/>
      <c r="R488" s="32">
        <f>$G$39-SUM($Q$39:$Q488)</f>
        <v>200000</v>
      </c>
    </row>
    <row r="489" spans="1:18" ht="12.75">
      <c r="A489" s="1">
        <f t="shared" si="94"/>
      </c>
      <c r="B489" s="2" t="str">
        <f t="shared" si="84"/>
        <v> </v>
      </c>
      <c r="C489" s="2" t="str">
        <f t="shared" si="85"/>
        <v> </v>
      </c>
      <c r="D489" s="3" t="str">
        <f t="shared" si="93"/>
        <v> </v>
      </c>
      <c r="E489" s="3" t="str">
        <f t="shared" si="91"/>
        <v> </v>
      </c>
      <c r="F489" s="3" t="str">
        <f t="shared" si="86"/>
        <v> </v>
      </c>
      <c r="G489" s="3" t="str">
        <f t="shared" si="87"/>
        <v> </v>
      </c>
      <c r="H489" s="32"/>
      <c r="I489" s="32">
        <f>$G$39-SUM($H$39:$H489)</f>
        <v>200000</v>
      </c>
      <c r="J489" s="68"/>
      <c r="K489" s="2" t="str">
        <f t="shared" si="88"/>
        <v> </v>
      </c>
      <c r="L489" s="2" t="str">
        <f t="shared" si="89"/>
        <v> </v>
      </c>
      <c r="M489" s="3" t="str">
        <f>IF(L489&lt;&gt;" ",IF(P488&lt;M488,P488+N489,PMT($O$27,($N$30),-$R488))," ")</f>
        <v> </v>
      </c>
      <c r="N489" s="3" t="str">
        <f t="shared" si="92"/>
        <v> </v>
      </c>
      <c r="O489" s="3" t="str">
        <f t="shared" si="96"/>
        <v> </v>
      </c>
      <c r="P489" s="3" t="str">
        <f t="shared" si="90"/>
        <v> </v>
      </c>
      <c r="Q489" s="32"/>
      <c r="R489" s="32">
        <f>$G$39-SUM($Q$39:$Q489)</f>
        <v>200000</v>
      </c>
    </row>
    <row r="490" spans="1:18" ht="12.75">
      <c r="A490" s="1">
        <f t="shared" si="94"/>
      </c>
      <c r="B490" s="2" t="str">
        <f t="shared" si="84"/>
        <v> </v>
      </c>
      <c r="C490" s="2" t="str">
        <f t="shared" si="85"/>
        <v> </v>
      </c>
      <c r="D490" s="3" t="str">
        <f t="shared" si="93"/>
        <v> </v>
      </c>
      <c r="E490" s="3" t="str">
        <f t="shared" si="91"/>
        <v> </v>
      </c>
      <c r="F490" s="3" t="str">
        <f t="shared" si="86"/>
        <v> </v>
      </c>
      <c r="G490" s="3" t="str">
        <f t="shared" si="87"/>
        <v> </v>
      </c>
      <c r="H490" s="32"/>
      <c r="I490" s="32">
        <f>$G$39-SUM($H$39:$H490)</f>
        <v>200000</v>
      </c>
      <c r="J490" s="68"/>
      <c r="K490" s="2" t="str">
        <f t="shared" si="88"/>
        <v> </v>
      </c>
      <c r="L490" s="2" t="str">
        <f t="shared" si="89"/>
        <v> </v>
      </c>
      <c r="M490" s="3" t="str">
        <f>IF(L490&lt;&gt;" ",IF(P489&lt;M489,P489+N490,PMT($O$27,($N$30),-$R489))," ")</f>
        <v> </v>
      </c>
      <c r="N490" s="3" t="str">
        <f t="shared" si="92"/>
        <v> </v>
      </c>
      <c r="O490" s="3" t="str">
        <f t="shared" si="96"/>
        <v> </v>
      </c>
      <c r="P490" s="3" t="str">
        <f t="shared" si="90"/>
        <v> </v>
      </c>
      <c r="Q490" s="32"/>
      <c r="R490" s="32">
        <f>$G$39-SUM($Q$39:$Q490)</f>
        <v>200000</v>
      </c>
    </row>
    <row r="491" spans="1:18" ht="12.75">
      <c r="A491" s="1">
        <f t="shared" si="94"/>
      </c>
      <c r="B491" s="2" t="str">
        <f t="shared" si="84"/>
        <v> </v>
      </c>
      <c r="C491" s="2" t="str">
        <f t="shared" si="85"/>
        <v> </v>
      </c>
      <c r="D491" s="3" t="str">
        <f t="shared" si="93"/>
        <v> </v>
      </c>
      <c r="E491" s="3" t="str">
        <f t="shared" si="91"/>
        <v> </v>
      </c>
      <c r="F491" s="3" t="str">
        <f t="shared" si="86"/>
        <v> </v>
      </c>
      <c r="G491" s="3" t="str">
        <f t="shared" si="87"/>
        <v> </v>
      </c>
      <c r="H491" s="32"/>
      <c r="I491" s="32">
        <f>$G$39-SUM($H$39:$H491)</f>
        <v>200000</v>
      </c>
      <c r="J491" s="68"/>
      <c r="K491" s="2" t="str">
        <f t="shared" si="88"/>
        <v> </v>
      </c>
      <c r="L491" s="2" t="str">
        <f t="shared" si="89"/>
        <v> </v>
      </c>
      <c r="M491" s="3" t="str">
        <f>IF(L491&lt;&gt;" ",IF(P490&lt;M490,P490+N491,PMT($O$27,($N$30),-$R490))," ")</f>
        <v> </v>
      </c>
      <c r="N491" s="3" t="str">
        <f t="shared" si="92"/>
        <v> </v>
      </c>
      <c r="O491" s="3" t="str">
        <f t="shared" si="96"/>
        <v> </v>
      </c>
      <c r="P491" s="3" t="str">
        <f t="shared" si="90"/>
        <v> </v>
      </c>
      <c r="Q491" s="32"/>
      <c r="R491" s="32">
        <f>$G$39-SUM($Q$39:$Q491)</f>
        <v>200000</v>
      </c>
    </row>
    <row r="492" spans="1:18" ht="12.75">
      <c r="A492" s="1">
        <f t="shared" si="94"/>
      </c>
      <c r="B492" s="2" t="str">
        <f t="shared" si="84"/>
        <v> </v>
      </c>
      <c r="C492" s="2" t="str">
        <f t="shared" si="85"/>
        <v> </v>
      </c>
      <c r="D492" s="3" t="str">
        <f t="shared" si="93"/>
        <v> </v>
      </c>
      <c r="E492" s="3" t="str">
        <f t="shared" si="91"/>
        <v> </v>
      </c>
      <c r="F492" s="3" t="str">
        <f t="shared" si="86"/>
        <v> </v>
      </c>
      <c r="G492" s="3" t="str">
        <f t="shared" si="87"/>
        <v> </v>
      </c>
      <c r="H492" s="32"/>
      <c r="I492" s="32">
        <f>$G$39-SUM($H$39:$H492)</f>
        <v>200000</v>
      </c>
      <c r="J492" s="68"/>
      <c r="K492" s="2" t="str">
        <f t="shared" si="88"/>
        <v> </v>
      </c>
      <c r="L492" s="2" t="str">
        <f t="shared" si="89"/>
        <v> </v>
      </c>
      <c r="M492" s="3" t="str">
        <f>IF(L492&lt;&gt;" ",IF(P491&lt;M491,P491+N492,PMT($O$27,($N$30),-$R491))," ")</f>
        <v> </v>
      </c>
      <c r="N492" s="3" t="str">
        <f t="shared" si="92"/>
        <v> </v>
      </c>
      <c r="O492" s="3" t="str">
        <f t="shared" si="96"/>
        <v> </v>
      </c>
      <c r="P492" s="3" t="str">
        <f t="shared" si="90"/>
        <v> </v>
      </c>
      <c r="Q492" s="32"/>
      <c r="R492" s="32">
        <f>$G$39-SUM($Q$39:$Q492)</f>
        <v>200000</v>
      </c>
    </row>
    <row r="493" spans="1:18" ht="12.75">
      <c r="A493" s="1">
        <f t="shared" si="94"/>
      </c>
      <c r="B493" s="2" t="str">
        <f t="shared" si="84"/>
        <v> </v>
      </c>
      <c r="C493" s="2" t="str">
        <f t="shared" si="85"/>
        <v> </v>
      </c>
      <c r="D493" s="3" t="str">
        <f t="shared" si="93"/>
        <v> </v>
      </c>
      <c r="E493" s="3" t="str">
        <f t="shared" si="91"/>
        <v> </v>
      </c>
      <c r="F493" s="3" t="str">
        <f t="shared" si="86"/>
        <v> </v>
      </c>
      <c r="G493" s="3" t="str">
        <f t="shared" si="87"/>
        <v> </v>
      </c>
      <c r="H493" s="32"/>
      <c r="I493" s="32">
        <f>$G$39-SUM($H$39:$H493)</f>
        <v>200000</v>
      </c>
      <c r="J493" s="68"/>
      <c r="K493" s="2" t="str">
        <f t="shared" si="88"/>
        <v> </v>
      </c>
      <c r="L493" s="2" t="str">
        <f t="shared" si="89"/>
        <v> </v>
      </c>
      <c r="M493" s="3" t="str">
        <f>IF(L493&lt;&gt;" ",IF(P492&lt;M492,P492+N493,PMT($O$27,($N$30),-$R492))," ")</f>
        <v> </v>
      </c>
      <c r="N493" s="3" t="str">
        <f t="shared" si="92"/>
        <v> </v>
      </c>
      <c r="O493" s="3" t="str">
        <f t="shared" si="96"/>
        <v> </v>
      </c>
      <c r="P493" s="3" t="str">
        <f t="shared" si="90"/>
        <v> </v>
      </c>
      <c r="Q493" s="32"/>
      <c r="R493" s="32">
        <f>$G$39-SUM($Q$39:$Q493)</f>
        <v>200000</v>
      </c>
    </row>
    <row r="494" spans="1:18" ht="12.75">
      <c r="A494" s="1">
        <f t="shared" si="94"/>
      </c>
      <c r="B494" s="2" t="str">
        <f t="shared" si="84"/>
        <v> </v>
      </c>
      <c r="C494" s="2" t="str">
        <f t="shared" si="85"/>
        <v> </v>
      </c>
      <c r="D494" s="3" t="str">
        <f t="shared" si="93"/>
        <v> </v>
      </c>
      <c r="E494" s="3" t="str">
        <f t="shared" si="91"/>
        <v> </v>
      </c>
      <c r="F494" s="3" t="str">
        <f t="shared" si="86"/>
        <v> </v>
      </c>
      <c r="G494" s="3" t="str">
        <f t="shared" si="87"/>
        <v> </v>
      </c>
      <c r="H494" s="32"/>
      <c r="I494" s="32">
        <f>$G$39-SUM($H$39:$H494)</f>
        <v>200000</v>
      </c>
      <c r="J494" s="68"/>
      <c r="K494" s="2" t="str">
        <f t="shared" si="88"/>
        <v> </v>
      </c>
      <c r="L494" s="2" t="str">
        <f t="shared" si="89"/>
        <v> </v>
      </c>
      <c r="M494" s="3" t="str">
        <f>IF(L494&lt;&gt;" ",IF(P493&lt;M493,P493+N494,PMT($O$27,($N$30),-$R493))," ")</f>
        <v> </v>
      </c>
      <c r="N494" s="3" t="str">
        <f t="shared" si="92"/>
        <v> </v>
      </c>
      <c r="O494" s="3" t="str">
        <f t="shared" si="96"/>
        <v> </v>
      </c>
      <c r="P494" s="3" t="str">
        <f t="shared" si="90"/>
        <v> </v>
      </c>
      <c r="Q494" s="32"/>
      <c r="R494" s="32">
        <f>$G$39-SUM($Q$39:$Q494)</f>
        <v>200000</v>
      </c>
    </row>
    <row r="495" spans="1:18" ht="12.75">
      <c r="A495" s="1">
        <f t="shared" si="94"/>
      </c>
      <c r="B495" s="2" t="str">
        <f t="shared" si="84"/>
        <v> </v>
      </c>
      <c r="C495" s="2" t="str">
        <f t="shared" si="85"/>
        <v> </v>
      </c>
      <c r="D495" s="3" t="str">
        <f t="shared" si="93"/>
        <v> </v>
      </c>
      <c r="E495" s="3" t="str">
        <f t="shared" si="91"/>
        <v> </v>
      </c>
      <c r="F495" s="3" t="str">
        <f t="shared" si="86"/>
        <v> </v>
      </c>
      <c r="G495" s="3" t="str">
        <f t="shared" si="87"/>
        <v> </v>
      </c>
      <c r="H495" s="32"/>
      <c r="I495" s="32">
        <f>$G$39-SUM($H$39:$H495)</f>
        <v>200000</v>
      </c>
      <c r="J495" s="68"/>
      <c r="K495" s="2" t="str">
        <f t="shared" si="88"/>
        <v> </v>
      </c>
      <c r="L495" s="2" t="str">
        <f t="shared" si="89"/>
        <v> </v>
      </c>
      <c r="M495" s="3" t="str">
        <f>IF(L495&lt;&gt;" ",IF(P494&lt;M494,P494+N495,PMT($O$27,($N$30),-$R494))," ")</f>
        <v> </v>
      </c>
      <c r="N495" s="3" t="str">
        <f t="shared" si="92"/>
        <v> </v>
      </c>
      <c r="O495" s="3" t="str">
        <f t="shared" si="96"/>
        <v> </v>
      </c>
      <c r="P495" s="3" t="str">
        <f t="shared" si="90"/>
        <v> </v>
      </c>
      <c r="Q495" s="32"/>
      <c r="R495" s="32">
        <f>$G$39-SUM($Q$39:$Q495)</f>
        <v>200000</v>
      </c>
    </row>
    <row r="496" spans="1:18" ht="12.75">
      <c r="A496" s="1">
        <f t="shared" si="94"/>
      </c>
      <c r="B496" s="2" t="str">
        <f t="shared" si="84"/>
        <v> </v>
      </c>
      <c r="C496" s="2" t="str">
        <f t="shared" si="85"/>
        <v> </v>
      </c>
      <c r="D496" s="3" t="str">
        <f t="shared" si="93"/>
        <v> </v>
      </c>
      <c r="E496" s="3" t="str">
        <f t="shared" si="91"/>
        <v> </v>
      </c>
      <c r="F496" s="3" t="str">
        <f t="shared" si="86"/>
        <v> </v>
      </c>
      <c r="G496" s="3" t="str">
        <f t="shared" si="87"/>
        <v> </v>
      </c>
      <c r="H496" s="32"/>
      <c r="I496" s="32">
        <f>$G$39-SUM($H$39:$H496)</f>
        <v>200000</v>
      </c>
      <c r="J496" s="68"/>
      <c r="K496" s="2" t="str">
        <f t="shared" si="88"/>
        <v> </v>
      </c>
      <c r="L496" s="2" t="str">
        <f t="shared" si="89"/>
        <v> </v>
      </c>
      <c r="M496" s="3" t="str">
        <f>IF(L496&lt;&gt;" ",IF(P495&lt;M495,P495+N496,PMT($O$27,($N$30),-$R495))," ")</f>
        <v> </v>
      </c>
      <c r="N496" s="3" t="str">
        <f t="shared" si="92"/>
        <v> </v>
      </c>
      <c r="O496" s="3" t="str">
        <f t="shared" si="96"/>
        <v> </v>
      </c>
      <c r="P496" s="3" t="str">
        <f t="shared" si="90"/>
        <v> </v>
      </c>
      <c r="Q496" s="32"/>
      <c r="R496" s="32">
        <f>$G$39-SUM($Q$39:$Q496)</f>
        <v>200000</v>
      </c>
    </row>
    <row r="497" spans="1:18" ht="12.75">
      <c r="A497" s="1">
        <f t="shared" si="94"/>
      </c>
      <c r="B497" s="2" t="str">
        <f t="shared" si="84"/>
        <v> </v>
      </c>
      <c r="C497" s="2" t="str">
        <f t="shared" si="85"/>
        <v> </v>
      </c>
      <c r="D497" s="3" t="str">
        <f t="shared" si="93"/>
        <v> </v>
      </c>
      <c r="E497" s="3" t="str">
        <f t="shared" si="91"/>
        <v> </v>
      </c>
      <c r="F497" s="3" t="str">
        <f t="shared" si="86"/>
        <v> </v>
      </c>
      <c r="G497" s="3" t="str">
        <f t="shared" si="87"/>
        <v> </v>
      </c>
      <c r="H497" s="32"/>
      <c r="I497" s="32">
        <f>$G$39-SUM($H$39:$H497)</f>
        <v>200000</v>
      </c>
      <c r="J497" s="68"/>
      <c r="K497" s="2" t="str">
        <f t="shared" si="88"/>
        <v> </v>
      </c>
      <c r="L497" s="2" t="str">
        <f t="shared" si="89"/>
        <v> </v>
      </c>
      <c r="M497" s="3" t="str">
        <f>IF(L497&lt;&gt;" ",IF(P496&lt;M496,P496+N497,PMT($O$27,($N$30),-$R496))," ")</f>
        <v> </v>
      </c>
      <c r="N497" s="3" t="str">
        <f t="shared" si="92"/>
        <v> </v>
      </c>
      <c r="O497" s="3" t="str">
        <f t="shared" si="96"/>
        <v> </v>
      </c>
      <c r="P497" s="3" t="str">
        <f t="shared" si="90"/>
        <v> </v>
      </c>
      <c r="Q497" s="32"/>
      <c r="R497" s="32">
        <f>$G$39-SUM($Q$39:$Q497)</f>
        <v>200000</v>
      </c>
    </row>
    <row r="498" spans="1:18" ht="12.75">
      <c r="A498" s="1">
        <f t="shared" si="94"/>
      </c>
      <c r="B498" s="2" t="str">
        <f aca="true" t="shared" si="97" ref="B498:B519">IF(C498&lt;&gt;" ",INT(C497/12)+1," ")</f>
        <v> </v>
      </c>
      <c r="C498" s="2" t="str">
        <f aca="true" t="shared" si="98" ref="C498:C519">IF(CODE(C497)=32," ",IF(AND(C497+1&lt;=$E$30,G497&gt;0),+C497+1," "))</f>
        <v> </v>
      </c>
      <c r="D498" s="3" t="str">
        <f t="shared" si="93"/>
        <v> </v>
      </c>
      <c r="E498" s="3" t="str">
        <f t="shared" si="91"/>
        <v> </v>
      </c>
      <c r="F498" s="3" t="str">
        <f aca="true" t="shared" si="99" ref="F498:F519">IF(C498&lt;&gt;" ",D498-E498+H498," ")</f>
        <v> </v>
      </c>
      <c r="G498" s="3" t="str">
        <f aca="true" t="shared" si="100" ref="G498:G519">IF(C498&lt;&gt;" ",G497-F498," ")</f>
        <v> </v>
      </c>
      <c r="H498" s="32"/>
      <c r="I498" s="32">
        <f>$G$39-SUM($H$39:$H498)</f>
        <v>200000</v>
      </c>
      <c r="J498" s="68"/>
      <c r="K498" s="2" t="str">
        <f aca="true" t="shared" si="101" ref="K498:K519">IF(L498&lt;&gt;" ",INT(L497/12)+1," ")</f>
        <v> </v>
      </c>
      <c r="L498" s="2" t="str">
        <f aca="true" t="shared" si="102" ref="L498:L519">IF(CODE(L497)=32," ",IF(AND(L497+1&lt;=$E$30,P497&gt;0),+L497+1," "))</f>
        <v> </v>
      </c>
      <c r="M498" s="3" t="str">
        <f>IF(L498&lt;&gt;" ",IF(P497&lt;M497,P497+N498,PMT($O$27,($N$30),-$R497))," ")</f>
        <v> </v>
      </c>
      <c r="N498" s="3" t="str">
        <f t="shared" si="92"/>
        <v> </v>
      </c>
      <c r="O498" s="3" t="str">
        <f t="shared" si="96"/>
        <v> </v>
      </c>
      <c r="P498" s="3" t="str">
        <f aca="true" t="shared" si="103" ref="P498:P519">IF(L498&lt;&gt;" ",P497-O498," ")</f>
        <v> </v>
      </c>
      <c r="Q498" s="32"/>
      <c r="R498" s="32">
        <f>$G$39-SUM($Q$39:$Q498)</f>
        <v>200000</v>
      </c>
    </row>
    <row r="499" spans="1:18" ht="12.75">
      <c r="A499" s="1">
        <f t="shared" si="94"/>
      </c>
      <c r="B499" s="2" t="str">
        <f t="shared" si="97"/>
        <v> </v>
      </c>
      <c r="C499" s="2" t="str">
        <f t="shared" si="98"/>
        <v> </v>
      </c>
      <c r="D499" s="3" t="str">
        <f t="shared" si="93"/>
        <v> </v>
      </c>
      <c r="E499" s="3" t="str">
        <f t="shared" si="91"/>
        <v> </v>
      </c>
      <c r="F499" s="3" t="str">
        <f t="shared" si="99"/>
        <v> </v>
      </c>
      <c r="G499" s="3" t="str">
        <f t="shared" si="100"/>
        <v> </v>
      </c>
      <c r="H499" s="32"/>
      <c r="I499" s="32">
        <f>$G$39-SUM($H$39:$H499)</f>
        <v>200000</v>
      </c>
      <c r="J499" s="68"/>
      <c r="K499" s="2" t="str">
        <f t="shared" si="101"/>
        <v> </v>
      </c>
      <c r="L499" s="2" t="str">
        <f t="shared" si="102"/>
        <v> </v>
      </c>
      <c r="M499" s="3" t="str">
        <f>IF(L499&lt;&gt;" ",IF(P498&lt;M498,P498+N499,PMT($O$27,($N$30),-$R498))," ")</f>
        <v> </v>
      </c>
      <c r="N499" s="3" t="str">
        <f t="shared" si="92"/>
        <v> </v>
      </c>
      <c r="O499" s="3" t="str">
        <f t="shared" si="96"/>
        <v> </v>
      </c>
      <c r="P499" s="3" t="str">
        <f t="shared" si="103"/>
        <v> </v>
      </c>
      <c r="Q499" s="32"/>
      <c r="R499" s="32">
        <f>$G$39-SUM($Q$39:$Q499)</f>
        <v>200000</v>
      </c>
    </row>
    <row r="500" spans="1:18" ht="12.75">
      <c r="A500" s="1">
        <f t="shared" si="94"/>
      </c>
      <c r="B500" s="2" t="str">
        <f t="shared" si="97"/>
        <v> </v>
      </c>
      <c r="C500" s="2" t="str">
        <f t="shared" si="98"/>
        <v> </v>
      </c>
      <c r="D500" s="3" t="str">
        <f t="shared" si="93"/>
        <v> </v>
      </c>
      <c r="E500" s="3" t="str">
        <f t="shared" si="91"/>
        <v> </v>
      </c>
      <c r="F500" s="3" t="str">
        <f t="shared" si="99"/>
        <v> </v>
      </c>
      <c r="G500" s="3" t="str">
        <f t="shared" si="100"/>
        <v> </v>
      </c>
      <c r="H500" s="32"/>
      <c r="I500" s="32">
        <f>$G$39-SUM($H$39:$H500)</f>
        <v>200000</v>
      </c>
      <c r="J500" s="68"/>
      <c r="K500" s="2" t="str">
        <f t="shared" si="101"/>
        <v> </v>
      </c>
      <c r="L500" s="2" t="str">
        <f t="shared" si="102"/>
        <v> </v>
      </c>
      <c r="M500" s="3" t="str">
        <f>IF(L500&lt;&gt;" ",IF(P499&lt;M499,P499+N500,PMT($O$27,($N$30),-$R499))," ")</f>
        <v> </v>
      </c>
      <c r="N500" s="3" t="str">
        <f t="shared" si="92"/>
        <v> </v>
      </c>
      <c r="O500" s="3" t="str">
        <f t="shared" si="96"/>
        <v> </v>
      </c>
      <c r="P500" s="3" t="str">
        <f t="shared" si="103"/>
        <v> </v>
      </c>
      <c r="Q500" s="32"/>
      <c r="R500" s="32">
        <f>$G$39-SUM($Q$39:$Q500)</f>
        <v>200000</v>
      </c>
    </row>
    <row r="501" spans="1:18" ht="12.75">
      <c r="A501" s="1">
        <f t="shared" si="94"/>
      </c>
      <c r="B501" s="2" t="str">
        <f t="shared" si="97"/>
        <v> </v>
      </c>
      <c r="C501" s="2" t="str">
        <f t="shared" si="98"/>
        <v> </v>
      </c>
      <c r="D501" s="3" t="str">
        <f t="shared" si="93"/>
        <v> </v>
      </c>
      <c r="E501" s="3" t="str">
        <f aca="true" t="shared" si="104" ref="E501:E519">IF(C501&lt;&gt;" ",G500*$F$27," ")</f>
        <v> </v>
      </c>
      <c r="F501" s="3" t="str">
        <f t="shared" si="99"/>
        <v> </v>
      </c>
      <c r="G501" s="3" t="str">
        <f t="shared" si="100"/>
        <v> </v>
      </c>
      <c r="H501" s="32"/>
      <c r="I501" s="32">
        <f>$G$39-SUM($H$39:$H501)</f>
        <v>200000</v>
      </c>
      <c r="J501" s="68"/>
      <c r="K501" s="2" t="str">
        <f t="shared" si="101"/>
        <v> </v>
      </c>
      <c r="L501" s="2" t="str">
        <f t="shared" si="102"/>
        <v> </v>
      </c>
      <c r="M501" s="3" t="str">
        <f>IF(L501&lt;&gt;" ",IF(P500&lt;M500,P500+N501,PMT($O$27,($N$30),-$R500))," ")</f>
        <v> </v>
      </c>
      <c r="N501" s="3" t="str">
        <f aca="true" t="shared" si="105" ref="N501:N519">IF(L501&lt;&gt;" ",P500*$O$27," ")</f>
        <v> </v>
      </c>
      <c r="O501" s="3" t="str">
        <f t="shared" si="96"/>
        <v> </v>
      </c>
      <c r="P501" s="3" t="str">
        <f t="shared" si="103"/>
        <v> </v>
      </c>
      <c r="Q501" s="32"/>
      <c r="R501" s="32">
        <f>$G$39-SUM($Q$39:$Q501)</f>
        <v>200000</v>
      </c>
    </row>
    <row r="502" spans="1:18" ht="12.75">
      <c r="A502" s="1">
        <f t="shared" si="94"/>
      </c>
      <c r="B502" s="2" t="str">
        <f t="shared" si="97"/>
        <v> </v>
      </c>
      <c r="C502" s="2" t="str">
        <f t="shared" si="98"/>
        <v> </v>
      </c>
      <c r="D502" s="3" t="str">
        <f t="shared" si="93"/>
        <v> </v>
      </c>
      <c r="E502" s="3" t="str">
        <f t="shared" si="104"/>
        <v> </v>
      </c>
      <c r="F502" s="3" t="str">
        <f t="shared" si="99"/>
        <v> </v>
      </c>
      <c r="G502" s="3" t="str">
        <f t="shared" si="100"/>
        <v> </v>
      </c>
      <c r="H502" s="32"/>
      <c r="I502" s="32">
        <f>$G$39-SUM($H$39:$H502)</f>
        <v>200000</v>
      </c>
      <c r="J502" s="68"/>
      <c r="K502" s="2" t="str">
        <f t="shared" si="101"/>
        <v> </v>
      </c>
      <c r="L502" s="2" t="str">
        <f t="shared" si="102"/>
        <v> </v>
      </c>
      <c r="M502" s="3" t="str">
        <f>IF(L502&lt;&gt;" ",IF(P501&lt;M501,P501+N502,PMT($O$27,($N$30),-$R501))," ")</f>
        <v> </v>
      </c>
      <c r="N502" s="3" t="str">
        <f t="shared" si="105"/>
        <v> </v>
      </c>
      <c r="O502" s="3" t="str">
        <f t="shared" si="96"/>
        <v> </v>
      </c>
      <c r="P502" s="3" t="str">
        <f t="shared" si="103"/>
        <v> </v>
      </c>
      <c r="Q502" s="32"/>
      <c r="R502" s="32">
        <f>$G$39-SUM($Q$39:$Q502)</f>
        <v>200000</v>
      </c>
    </row>
    <row r="503" spans="1:18" ht="12.75">
      <c r="A503" s="1">
        <f t="shared" si="94"/>
      </c>
      <c r="B503" s="2" t="str">
        <f t="shared" si="97"/>
        <v> </v>
      </c>
      <c r="C503" s="2" t="str">
        <f t="shared" si="98"/>
        <v> </v>
      </c>
      <c r="D503" s="3" t="str">
        <f t="shared" si="93"/>
        <v> </v>
      </c>
      <c r="E503" s="3" t="str">
        <f t="shared" si="104"/>
        <v> </v>
      </c>
      <c r="F503" s="3" t="str">
        <f t="shared" si="99"/>
        <v> </v>
      </c>
      <c r="G503" s="3" t="str">
        <f t="shared" si="100"/>
        <v> </v>
      </c>
      <c r="H503" s="32"/>
      <c r="I503" s="32">
        <f>$G$39-SUM($H$39:$H503)</f>
        <v>200000</v>
      </c>
      <c r="J503" s="68"/>
      <c r="K503" s="2" t="str">
        <f t="shared" si="101"/>
        <v> </v>
      </c>
      <c r="L503" s="2" t="str">
        <f t="shared" si="102"/>
        <v> </v>
      </c>
      <c r="M503" s="3" t="str">
        <f>IF(L503&lt;&gt;" ",IF(P502&lt;M502,P502+N503,PMT($O$27,($N$30),-$R502))," ")</f>
        <v> </v>
      </c>
      <c r="N503" s="3" t="str">
        <f t="shared" si="105"/>
        <v> </v>
      </c>
      <c r="O503" s="3" t="str">
        <f t="shared" si="96"/>
        <v> </v>
      </c>
      <c r="P503" s="3" t="str">
        <f t="shared" si="103"/>
        <v> </v>
      </c>
      <c r="Q503" s="32"/>
      <c r="R503" s="32">
        <f>$G$39-SUM($Q$39:$Q503)</f>
        <v>200000</v>
      </c>
    </row>
    <row r="504" spans="1:18" ht="12.75">
      <c r="A504" s="1">
        <f t="shared" si="94"/>
      </c>
      <c r="B504" s="2" t="str">
        <f t="shared" si="97"/>
        <v> </v>
      </c>
      <c r="C504" s="2" t="str">
        <f t="shared" si="98"/>
        <v> </v>
      </c>
      <c r="D504" s="3" t="str">
        <f aca="true" t="shared" si="106" ref="D504:D519">IF(C504&lt;&gt;" ",IF(G503&lt;D503,G503+E504,PMT($F$27,($E$30),-I503))," ")</f>
        <v> </v>
      </c>
      <c r="E504" s="3" t="str">
        <f t="shared" si="104"/>
        <v> </v>
      </c>
      <c r="F504" s="3" t="str">
        <f t="shared" si="99"/>
        <v> </v>
      </c>
      <c r="G504" s="3" t="str">
        <f t="shared" si="100"/>
        <v> </v>
      </c>
      <c r="H504" s="32"/>
      <c r="I504" s="32">
        <f>$G$39-SUM($H$39:$H504)</f>
        <v>200000</v>
      </c>
      <c r="J504" s="68"/>
      <c r="K504" s="2" t="str">
        <f t="shared" si="101"/>
        <v> </v>
      </c>
      <c r="L504" s="2" t="str">
        <f t="shared" si="102"/>
        <v> </v>
      </c>
      <c r="M504" s="3" t="str">
        <f>IF(L504&lt;&gt;" ",IF(P503&lt;M503,P503+N504,PMT($O$27,($N$30),-$R503))," ")</f>
        <v> </v>
      </c>
      <c r="N504" s="3" t="str">
        <f t="shared" si="105"/>
        <v> </v>
      </c>
      <c r="O504" s="3" t="str">
        <f t="shared" si="96"/>
        <v> </v>
      </c>
      <c r="P504" s="3" t="str">
        <f t="shared" si="103"/>
        <v> </v>
      </c>
      <c r="Q504" s="32"/>
      <c r="R504" s="32">
        <f>$G$39-SUM($Q$39:$Q504)</f>
        <v>200000</v>
      </c>
    </row>
    <row r="505" spans="1:18" ht="12.75">
      <c r="A505" s="1">
        <f t="shared" si="94"/>
      </c>
      <c r="B505" s="2" t="str">
        <f t="shared" si="97"/>
        <v> </v>
      </c>
      <c r="C505" s="2" t="str">
        <f t="shared" si="98"/>
        <v> </v>
      </c>
      <c r="D505" s="3" t="str">
        <f t="shared" si="106"/>
        <v> </v>
      </c>
      <c r="E505" s="3" t="str">
        <f t="shared" si="104"/>
        <v> </v>
      </c>
      <c r="F505" s="3" t="str">
        <f t="shared" si="99"/>
        <v> </v>
      </c>
      <c r="G505" s="3" t="str">
        <f t="shared" si="100"/>
        <v> </v>
      </c>
      <c r="H505" s="32"/>
      <c r="I505" s="32">
        <f>$G$39-SUM($H$39:$H505)</f>
        <v>200000</v>
      </c>
      <c r="J505" s="68"/>
      <c r="K505" s="2" t="str">
        <f t="shared" si="101"/>
        <v> </v>
      </c>
      <c r="L505" s="2" t="str">
        <f t="shared" si="102"/>
        <v> </v>
      </c>
      <c r="M505" s="3" t="str">
        <f>IF(L505&lt;&gt;" ",IF(P504&lt;M504,P504+N505,PMT($O$27,($N$30),-$R504))," ")</f>
        <v> </v>
      </c>
      <c r="N505" s="3" t="str">
        <f t="shared" si="105"/>
        <v> </v>
      </c>
      <c r="O505" s="3" t="str">
        <f t="shared" si="96"/>
        <v> </v>
      </c>
      <c r="P505" s="3" t="str">
        <f t="shared" si="103"/>
        <v> </v>
      </c>
      <c r="Q505" s="32"/>
      <c r="R505" s="32">
        <f>$G$39-SUM($Q$39:$Q505)</f>
        <v>200000</v>
      </c>
    </row>
    <row r="506" spans="1:18" ht="12.75">
      <c r="A506" s="1">
        <f t="shared" si="94"/>
      </c>
      <c r="B506" s="2" t="str">
        <f t="shared" si="97"/>
        <v> </v>
      </c>
      <c r="C506" s="2" t="str">
        <f t="shared" si="98"/>
        <v> </v>
      </c>
      <c r="D506" s="3" t="str">
        <f t="shared" si="106"/>
        <v> </v>
      </c>
      <c r="E506" s="3" t="str">
        <f t="shared" si="104"/>
        <v> </v>
      </c>
      <c r="F506" s="3" t="str">
        <f t="shared" si="99"/>
        <v> </v>
      </c>
      <c r="G506" s="3" t="str">
        <f t="shared" si="100"/>
        <v> </v>
      </c>
      <c r="H506" s="32"/>
      <c r="I506" s="32">
        <f>$G$39-SUM($H$39:$H506)</f>
        <v>200000</v>
      </c>
      <c r="J506" s="68"/>
      <c r="K506" s="2" t="str">
        <f t="shared" si="101"/>
        <v> </v>
      </c>
      <c r="L506" s="2" t="str">
        <f t="shared" si="102"/>
        <v> </v>
      </c>
      <c r="M506" s="3" t="str">
        <f>IF(L506&lt;&gt;" ",IF(P505&lt;M505,P505+N506,PMT($O$27,($N$30),-$R505))," ")</f>
        <v> </v>
      </c>
      <c r="N506" s="3" t="str">
        <f t="shared" si="105"/>
        <v> </v>
      </c>
      <c r="O506" s="3" t="str">
        <f t="shared" si="96"/>
        <v> </v>
      </c>
      <c r="P506" s="3" t="str">
        <f t="shared" si="103"/>
        <v> </v>
      </c>
      <c r="Q506" s="32"/>
      <c r="R506" s="32">
        <f>$G$39-SUM($Q$39:$Q506)</f>
        <v>200000</v>
      </c>
    </row>
    <row r="507" spans="1:18" ht="12.75">
      <c r="A507" s="1">
        <f t="shared" si="94"/>
      </c>
      <c r="B507" s="2" t="str">
        <f t="shared" si="97"/>
        <v> </v>
      </c>
      <c r="C507" s="2" t="str">
        <f t="shared" si="98"/>
        <v> </v>
      </c>
      <c r="D507" s="3" t="str">
        <f t="shared" si="106"/>
        <v> </v>
      </c>
      <c r="E507" s="3" t="str">
        <f t="shared" si="104"/>
        <v> </v>
      </c>
      <c r="F507" s="3" t="str">
        <f t="shared" si="99"/>
        <v> </v>
      </c>
      <c r="G507" s="3" t="str">
        <f t="shared" si="100"/>
        <v> </v>
      </c>
      <c r="H507" s="32"/>
      <c r="I507" s="32">
        <f>$G$39-SUM($H$39:$H507)</f>
        <v>200000</v>
      </c>
      <c r="J507" s="68"/>
      <c r="K507" s="2" t="str">
        <f t="shared" si="101"/>
        <v> </v>
      </c>
      <c r="L507" s="2" t="str">
        <f t="shared" si="102"/>
        <v> </v>
      </c>
      <c r="M507" s="3" t="str">
        <f>IF(L507&lt;&gt;" ",IF(P506&lt;M506,P506+N507,PMT($O$27,($N$30),-$R506))," ")</f>
        <v> </v>
      </c>
      <c r="N507" s="3" t="str">
        <f t="shared" si="105"/>
        <v> </v>
      </c>
      <c r="O507" s="3" t="str">
        <f t="shared" si="96"/>
        <v> </v>
      </c>
      <c r="P507" s="3" t="str">
        <f t="shared" si="103"/>
        <v> </v>
      </c>
      <c r="Q507" s="32"/>
      <c r="R507" s="32">
        <f>$G$39-SUM($Q$39:$Q507)</f>
        <v>200000</v>
      </c>
    </row>
    <row r="508" spans="1:18" ht="12.75">
      <c r="A508" s="1">
        <f t="shared" si="94"/>
      </c>
      <c r="B508" s="2" t="str">
        <f t="shared" si="97"/>
        <v> </v>
      </c>
      <c r="C508" s="2" t="str">
        <f t="shared" si="98"/>
        <v> </v>
      </c>
      <c r="D508" s="3" t="str">
        <f t="shared" si="106"/>
        <v> </v>
      </c>
      <c r="E508" s="3" t="str">
        <f t="shared" si="104"/>
        <v> </v>
      </c>
      <c r="F508" s="3" t="str">
        <f t="shared" si="99"/>
        <v> </v>
      </c>
      <c r="G508" s="3" t="str">
        <f t="shared" si="100"/>
        <v> </v>
      </c>
      <c r="H508" s="32"/>
      <c r="I508" s="32">
        <f>$G$39-SUM($H$39:$H508)</f>
        <v>200000</v>
      </c>
      <c r="J508" s="68"/>
      <c r="K508" s="2" t="str">
        <f t="shared" si="101"/>
        <v> </v>
      </c>
      <c r="L508" s="2" t="str">
        <f t="shared" si="102"/>
        <v> </v>
      </c>
      <c r="M508" s="3" t="str">
        <f>IF(L508&lt;&gt;" ",IF(P507&lt;M507,P507+N508,PMT($O$27,($N$30),-$R507))," ")</f>
        <v> </v>
      </c>
      <c r="N508" s="3" t="str">
        <f t="shared" si="105"/>
        <v> </v>
      </c>
      <c r="O508" s="3" t="str">
        <f t="shared" si="96"/>
        <v> </v>
      </c>
      <c r="P508" s="3" t="str">
        <f t="shared" si="103"/>
        <v> </v>
      </c>
      <c r="Q508" s="32"/>
      <c r="R508" s="32">
        <f>$G$39-SUM($Q$39:$Q508)</f>
        <v>200000</v>
      </c>
    </row>
    <row r="509" spans="1:18" ht="12.75">
      <c r="A509" s="1">
        <f t="shared" si="94"/>
      </c>
      <c r="B509" s="2" t="str">
        <f t="shared" si="97"/>
        <v> </v>
      </c>
      <c r="C509" s="2" t="str">
        <f t="shared" si="98"/>
        <v> </v>
      </c>
      <c r="D509" s="3" t="str">
        <f t="shared" si="106"/>
        <v> </v>
      </c>
      <c r="E509" s="3" t="str">
        <f t="shared" si="104"/>
        <v> </v>
      </c>
      <c r="F509" s="3" t="str">
        <f t="shared" si="99"/>
        <v> </v>
      </c>
      <c r="G509" s="3" t="str">
        <f t="shared" si="100"/>
        <v> </v>
      </c>
      <c r="H509" s="32"/>
      <c r="I509" s="32">
        <f>$G$39-SUM($H$39:$H509)</f>
        <v>200000</v>
      </c>
      <c r="J509" s="68"/>
      <c r="K509" s="2" t="str">
        <f t="shared" si="101"/>
        <v> </v>
      </c>
      <c r="L509" s="2" t="str">
        <f t="shared" si="102"/>
        <v> </v>
      </c>
      <c r="M509" s="3" t="str">
        <f>IF(L509&lt;&gt;" ",IF(P508&lt;M508,P508+N509,PMT($O$27,($N$30),-$R508))," ")</f>
        <v> </v>
      </c>
      <c r="N509" s="3" t="str">
        <f t="shared" si="105"/>
        <v> </v>
      </c>
      <c r="O509" s="3" t="str">
        <f t="shared" si="96"/>
        <v> </v>
      </c>
      <c r="P509" s="3" t="str">
        <f t="shared" si="103"/>
        <v> </v>
      </c>
      <c r="Q509" s="32"/>
      <c r="R509" s="32">
        <f>$G$39-SUM($Q$39:$Q509)</f>
        <v>200000</v>
      </c>
    </row>
    <row r="510" spans="1:18" ht="12.75">
      <c r="A510" s="1">
        <f t="shared" si="94"/>
      </c>
      <c r="B510" s="2" t="str">
        <f t="shared" si="97"/>
        <v> </v>
      </c>
      <c r="C510" s="2" t="str">
        <f t="shared" si="98"/>
        <v> </v>
      </c>
      <c r="D510" s="3" t="str">
        <f t="shared" si="106"/>
        <v> </v>
      </c>
      <c r="E510" s="3" t="str">
        <f t="shared" si="104"/>
        <v> </v>
      </c>
      <c r="F510" s="3" t="str">
        <f t="shared" si="99"/>
        <v> </v>
      </c>
      <c r="G510" s="3" t="str">
        <f t="shared" si="100"/>
        <v> </v>
      </c>
      <c r="H510" s="32"/>
      <c r="I510" s="32">
        <f>$G$39-SUM($H$39:$H510)</f>
        <v>200000</v>
      </c>
      <c r="J510" s="68"/>
      <c r="K510" s="2" t="str">
        <f t="shared" si="101"/>
        <v> </v>
      </c>
      <c r="L510" s="2" t="str">
        <f t="shared" si="102"/>
        <v> </v>
      </c>
      <c r="M510" s="3" t="str">
        <f>IF(L510&lt;&gt;" ",IF(P509&lt;M509,P509+N510,PMT($O$27,($N$30),-$R509))," ")</f>
        <v> </v>
      </c>
      <c r="N510" s="3" t="str">
        <f t="shared" si="105"/>
        <v> </v>
      </c>
      <c r="O510" s="3" t="str">
        <f t="shared" si="96"/>
        <v> </v>
      </c>
      <c r="P510" s="3" t="str">
        <f t="shared" si="103"/>
        <v> </v>
      </c>
      <c r="Q510" s="32"/>
      <c r="R510" s="32">
        <f>$G$39-SUM($Q$39:$Q510)</f>
        <v>200000</v>
      </c>
    </row>
    <row r="511" spans="1:18" ht="12.75">
      <c r="A511" s="1">
        <f t="shared" si="94"/>
      </c>
      <c r="B511" s="2" t="str">
        <f t="shared" si="97"/>
        <v> </v>
      </c>
      <c r="C511" s="2" t="str">
        <f t="shared" si="98"/>
        <v> </v>
      </c>
      <c r="D511" s="3" t="str">
        <f t="shared" si="106"/>
        <v> </v>
      </c>
      <c r="E511" s="3" t="str">
        <f t="shared" si="104"/>
        <v> </v>
      </c>
      <c r="F511" s="3" t="str">
        <f t="shared" si="99"/>
        <v> </v>
      </c>
      <c r="G511" s="3" t="str">
        <f t="shared" si="100"/>
        <v> </v>
      </c>
      <c r="I511" s="32">
        <f>$G$39-SUM($H$39:$H511)</f>
        <v>200000</v>
      </c>
      <c r="J511" s="68"/>
      <c r="K511" s="2" t="str">
        <f t="shared" si="101"/>
        <v> </v>
      </c>
      <c r="L511" s="2" t="str">
        <f t="shared" si="102"/>
        <v> </v>
      </c>
      <c r="M511" s="3" t="str">
        <f>IF(L511&lt;&gt;" ",IF(P510&lt;M510,P510+N511,PMT($O$27,($N$30),-$R510))," ")</f>
        <v> </v>
      </c>
      <c r="N511" s="3" t="str">
        <f t="shared" si="105"/>
        <v> </v>
      </c>
      <c r="O511" s="3" t="str">
        <f t="shared" si="96"/>
        <v> </v>
      </c>
      <c r="P511" s="3" t="str">
        <f t="shared" si="103"/>
        <v> </v>
      </c>
      <c r="R511" s="32">
        <f>$G$39-SUM($Q$39:$Q511)</f>
        <v>200000</v>
      </c>
    </row>
    <row r="512" spans="1:18" ht="12.75">
      <c r="A512" s="1">
        <f t="shared" si="94"/>
      </c>
      <c r="B512" s="2" t="str">
        <f t="shared" si="97"/>
        <v> </v>
      </c>
      <c r="C512" s="2" t="str">
        <f t="shared" si="98"/>
        <v> </v>
      </c>
      <c r="D512" s="3" t="str">
        <f t="shared" si="106"/>
        <v> </v>
      </c>
      <c r="E512" s="3" t="str">
        <f t="shared" si="104"/>
        <v> </v>
      </c>
      <c r="F512" s="3" t="str">
        <f t="shared" si="99"/>
        <v> </v>
      </c>
      <c r="G512" s="3" t="str">
        <f t="shared" si="100"/>
        <v> </v>
      </c>
      <c r="I512" s="32">
        <f>$G$39-SUM($H$39:$H512)</f>
        <v>200000</v>
      </c>
      <c r="J512" s="68"/>
      <c r="K512" s="2" t="str">
        <f t="shared" si="101"/>
        <v> </v>
      </c>
      <c r="L512" s="2" t="str">
        <f t="shared" si="102"/>
        <v> </v>
      </c>
      <c r="M512" s="3" t="str">
        <f>IF(L512&lt;&gt;" ",IF(P511&lt;M511,P511+N512,PMT($O$27,($N$30),-$R511))," ")</f>
        <v> </v>
      </c>
      <c r="N512" s="3" t="str">
        <f t="shared" si="105"/>
        <v> </v>
      </c>
      <c r="O512" s="3" t="str">
        <f t="shared" si="96"/>
        <v> </v>
      </c>
      <c r="P512" s="3" t="str">
        <f t="shared" si="103"/>
        <v> </v>
      </c>
      <c r="R512" s="32">
        <f>$G$39-SUM($Q$39:$Q512)</f>
        <v>200000</v>
      </c>
    </row>
    <row r="513" spans="1:18" ht="12.75">
      <c r="A513" s="1">
        <f t="shared" si="94"/>
      </c>
      <c r="B513" s="2" t="str">
        <f t="shared" si="97"/>
        <v> </v>
      </c>
      <c r="C513" s="2" t="str">
        <f t="shared" si="98"/>
        <v> </v>
      </c>
      <c r="D513" s="3" t="str">
        <f t="shared" si="106"/>
        <v> </v>
      </c>
      <c r="E513" s="3" t="str">
        <f t="shared" si="104"/>
        <v> </v>
      </c>
      <c r="F513" s="3" t="str">
        <f t="shared" si="99"/>
        <v> </v>
      </c>
      <c r="G513" s="3" t="str">
        <f t="shared" si="100"/>
        <v> </v>
      </c>
      <c r="I513" s="32">
        <f>$G$39-SUM($H$39:$H513)</f>
        <v>200000</v>
      </c>
      <c r="J513" s="68"/>
      <c r="K513" s="2" t="str">
        <f t="shared" si="101"/>
        <v> </v>
      </c>
      <c r="L513" s="2" t="str">
        <f t="shared" si="102"/>
        <v> </v>
      </c>
      <c r="M513" s="3" t="str">
        <f>IF(L513&lt;&gt;" ",IF(P512&lt;M512,P512+N513,PMT($O$27,($N$30),-$R512))," ")</f>
        <v> </v>
      </c>
      <c r="N513" s="3" t="str">
        <f t="shared" si="105"/>
        <v> </v>
      </c>
      <c r="O513" s="3" t="str">
        <f t="shared" si="96"/>
        <v> </v>
      </c>
      <c r="P513" s="3" t="str">
        <f t="shared" si="103"/>
        <v> </v>
      </c>
      <c r="R513" s="32">
        <f>$G$39-SUM($Q$39:$Q513)</f>
        <v>200000</v>
      </c>
    </row>
    <row r="514" spans="1:18" ht="12.75">
      <c r="A514" s="1">
        <f t="shared" si="94"/>
      </c>
      <c r="B514" s="2" t="str">
        <f t="shared" si="97"/>
        <v> </v>
      </c>
      <c r="C514" s="2" t="str">
        <f t="shared" si="98"/>
        <v> </v>
      </c>
      <c r="D514" s="3" t="str">
        <f t="shared" si="106"/>
        <v> </v>
      </c>
      <c r="E514" s="3" t="str">
        <f t="shared" si="104"/>
        <v> </v>
      </c>
      <c r="F514" s="3" t="str">
        <f t="shared" si="99"/>
        <v> </v>
      </c>
      <c r="G514" s="3" t="str">
        <f t="shared" si="100"/>
        <v> </v>
      </c>
      <c r="I514" s="32">
        <f>$G$39-SUM($H$39:$H514)</f>
        <v>200000</v>
      </c>
      <c r="J514" s="68"/>
      <c r="K514" s="2" t="str">
        <f t="shared" si="101"/>
        <v> </v>
      </c>
      <c r="L514" s="2" t="str">
        <f t="shared" si="102"/>
        <v> </v>
      </c>
      <c r="M514" s="3" t="str">
        <f>IF(L514&lt;&gt;" ",IF(P513&lt;M513,P513+N514,PMT($O$27,($N$30),-$R513))," ")</f>
        <v> </v>
      </c>
      <c r="N514" s="3" t="str">
        <f t="shared" si="105"/>
        <v> </v>
      </c>
      <c r="O514" s="3" t="str">
        <f t="shared" si="96"/>
        <v> </v>
      </c>
      <c r="P514" s="3" t="str">
        <f t="shared" si="103"/>
        <v> </v>
      </c>
      <c r="R514" s="32">
        <f>$G$39-SUM($Q$39:$Q514)</f>
        <v>200000</v>
      </c>
    </row>
    <row r="515" spans="1:18" ht="12.75">
      <c r="A515" s="1">
        <f t="shared" si="94"/>
      </c>
      <c r="B515" s="2" t="str">
        <f t="shared" si="97"/>
        <v> </v>
      </c>
      <c r="C515" s="2" t="str">
        <f t="shared" si="98"/>
        <v> </v>
      </c>
      <c r="D515" s="3" t="str">
        <f t="shared" si="106"/>
        <v> </v>
      </c>
      <c r="E515" s="3" t="str">
        <f t="shared" si="104"/>
        <v> </v>
      </c>
      <c r="F515" s="3" t="str">
        <f t="shared" si="99"/>
        <v> </v>
      </c>
      <c r="G515" s="3" t="str">
        <f t="shared" si="100"/>
        <v> </v>
      </c>
      <c r="I515" s="32">
        <f>$G$39-SUM($H$39:$H515)</f>
        <v>200000</v>
      </c>
      <c r="J515" s="68"/>
      <c r="K515" s="2" t="str">
        <f t="shared" si="101"/>
        <v> </v>
      </c>
      <c r="L515" s="2" t="str">
        <f t="shared" si="102"/>
        <v> </v>
      </c>
      <c r="M515" s="3" t="str">
        <f>IF(L515&lt;&gt;" ",IF(P514&lt;M514,P514+N515,PMT($O$27,($N$30),-$R514))," ")</f>
        <v> </v>
      </c>
      <c r="N515" s="3" t="str">
        <f t="shared" si="105"/>
        <v> </v>
      </c>
      <c r="O515" s="3" t="str">
        <f t="shared" si="96"/>
        <v> </v>
      </c>
      <c r="P515" s="3" t="str">
        <f t="shared" si="103"/>
        <v> </v>
      </c>
      <c r="R515" s="32">
        <f>$G$39-SUM($Q$39:$Q515)</f>
        <v>200000</v>
      </c>
    </row>
    <row r="516" spans="1:18" ht="12.75">
      <c r="A516" s="1">
        <f t="shared" si="94"/>
      </c>
      <c r="B516" s="2" t="str">
        <f t="shared" si="97"/>
        <v> </v>
      </c>
      <c r="C516" s="2" t="str">
        <f t="shared" si="98"/>
        <v> </v>
      </c>
      <c r="D516" s="3" t="str">
        <f t="shared" si="106"/>
        <v> </v>
      </c>
      <c r="E516" s="3" t="str">
        <f t="shared" si="104"/>
        <v> </v>
      </c>
      <c r="F516" s="3" t="str">
        <f t="shared" si="99"/>
        <v> </v>
      </c>
      <c r="G516" s="3" t="str">
        <f t="shared" si="100"/>
        <v> </v>
      </c>
      <c r="I516" s="32">
        <f>$G$39-SUM($H$39:$H516)</f>
        <v>200000</v>
      </c>
      <c r="J516" s="68"/>
      <c r="K516" s="2" t="str">
        <f t="shared" si="101"/>
        <v> </v>
      </c>
      <c r="L516" s="2" t="str">
        <f t="shared" si="102"/>
        <v> </v>
      </c>
      <c r="M516" s="3" t="str">
        <f>IF(L516&lt;&gt;" ",IF(P515&lt;M515,P515+N516,PMT($O$27,($N$30),-$R515))," ")</f>
        <v> </v>
      </c>
      <c r="N516" s="3" t="str">
        <f t="shared" si="105"/>
        <v> </v>
      </c>
      <c r="O516" s="3" t="str">
        <f t="shared" si="96"/>
        <v> </v>
      </c>
      <c r="P516" s="3" t="str">
        <f t="shared" si="103"/>
        <v> </v>
      </c>
      <c r="R516" s="32">
        <f>$G$39-SUM($Q$39:$Q516)</f>
        <v>200000</v>
      </c>
    </row>
    <row r="517" spans="1:18" ht="12.75">
      <c r="A517" s="1">
        <f t="shared" si="94"/>
      </c>
      <c r="B517" s="2" t="str">
        <f t="shared" si="97"/>
        <v> </v>
      </c>
      <c r="C517" s="2" t="str">
        <f t="shared" si="98"/>
        <v> </v>
      </c>
      <c r="D517" s="3" t="str">
        <f t="shared" si="106"/>
        <v> </v>
      </c>
      <c r="E517" s="3" t="str">
        <f t="shared" si="104"/>
        <v> </v>
      </c>
      <c r="F517" s="3" t="str">
        <f t="shared" si="99"/>
        <v> </v>
      </c>
      <c r="G517" s="3" t="str">
        <f t="shared" si="100"/>
        <v> </v>
      </c>
      <c r="I517" s="32">
        <f>$G$39-SUM($H$39:$H517)</f>
        <v>200000</v>
      </c>
      <c r="J517" s="68"/>
      <c r="K517" s="2" t="str">
        <f t="shared" si="101"/>
        <v> </v>
      </c>
      <c r="L517" s="2" t="str">
        <f t="shared" si="102"/>
        <v> </v>
      </c>
      <c r="M517" s="3" t="str">
        <f>IF(L517&lt;&gt;" ",IF(P516&lt;M516,P516+N517,PMT($N$26,($N$30),-$N$16))," ")</f>
        <v> </v>
      </c>
      <c r="N517" s="3" t="str">
        <f t="shared" si="105"/>
        <v> </v>
      </c>
      <c r="O517" s="3" t="str">
        <f t="shared" si="96"/>
        <v> </v>
      </c>
      <c r="P517" s="3" t="str">
        <f t="shared" si="103"/>
        <v> </v>
      </c>
      <c r="R517" s="32">
        <f>$G$39-SUM($Q$39:$Q517)</f>
        <v>200000</v>
      </c>
    </row>
    <row r="518" spans="1:18" ht="12.75">
      <c r="A518" s="1">
        <f t="shared" si="94"/>
      </c>
      <c r="B518" s="2" t="str">
        <f t="shared" si="97"/>
        <v> </v>
      </c>
      <c r="C518" s="2" t="str">
        <f t="shared" si="98"/>
        <v> </v>
      </c>
      <c r="D518" s="3" t="str">
        <f t="shared" si="106"/>
        <v> </v>
      </c>
      <c r="E518" s="3" t="str">
        <f t="shared" si="104"/>
        <v> </v>
      </c>
      <c r="F518" s="3" t="str">
        <f t="shared" si="99"/>
        <v> </v>
      </c>
      <c r="G518" s="3" t="str">
        <f t="shared" si="100"/>
        <v> </v>
      </c>
      <c r="I518" s="32">
        <f>$G$39-SUM($H$39:$H518)</f>
        <v>200000</v>
      </c>
      <c r="J518" s="68"/>
      <c r="K518" s="2" t="str">
        <f t="shared" si="101"/>
        <v> </v>
      </c>
      <c r="L518" s="2" t="str">
        <f t="shared" si="102"/>
        <v> </v>
      </c>
      <c r="M518" s="3" t="str">
        <f>IF(L518&lt;&gt;" ",IF(P517&lt;M517,P517+N518,PMT($N$26,($N$30),-$N$16))," ")</f>
        <v> </v>
      </c>
      <c r="N518" s="3" t="str">
        <f t="shared" si="105"/>
        <v> </v>
      </c>
      <c r="O518" s="3" t="str">
        <f t="shared" si="96"/>
        <v> </v>
      </c>
      <c r="P518" s="3" t="str">
        <f t="shared" si="103"/>
        <v> </v>
      </c>
      <c r="R518" s="32">
        <f>$G$39-SUM($Q$39:$Q518)</f>
        <v>200000</v>
      </c>
    </row>
    <row r="519" spans="1:18" ht="12.75">
      <c r="A519" s="1">
        <f t="shared" si="94"/>
      </c>
      <c r="B519" s="2" t="str">
        <f t="shared" si="97"/>
        <v> </v>
      </c>
      <c r="C519" s="2" t="str">
        <f t="shared" si="98"/>
        <v> </v>
      </c>
      <c r="D519" s="3" t="str">
        <f t="shared" si="106"/>
        <v> </v>
      </c>
      <c r="E519" s="3" t="str">
        <f t="shared" si="104"/>
        <v> </v>
      </c>
      <c r="F519" s="3" t="str">
        <f t="shared" si="99"/>
        <v> </v>
      </c>
      <c r="G519" s="3" t="str">
        <f t="shared" si="100"/>
        <v> </v>
      </c>
      <c r="I519" s="32">
        <f>$G$39-SUM($H$39:$H519)</f>
        <v>200000</v>
      </c>
      <c r="J519" s="68"/>
      <c r="K519" s="2" t="str">
        <f t="shared" si="101"/>
        <v> </v>
      </c>
      <c r="L519" s="2" t="str">
        <f t="shared" si="102"/>
        <v> </v>
      </c>
      <c r="M519" s="3" t="str">
        <f>IF(L519&lt;&gt;" ",IF(P518&lt;M518,P518+N519,PMT($N$26,($N$30),-$N$16))," ")</f>
        <v> </v>
      </c>
      <c r="N519" s="3" t="str">
        <f t="shared" si="105"/>
        <v> </v>
      </c>
      <c r="O519" s="3" t="str">
        <f t="shared" si="96"/>
        <v> </v>
      </c>
      <c r="P519" s="3" t="str">
        <f t="shared" si="103"/>
        <v> </v>
      </c>
      <c r="R519" s="32">
        <f>$G$39-SUM($Q$39:$Q519)</f>
        <v>200000</v>
      </c>
    </row>
  </sheetData>
  <sheetProtection sheet="1" objects="1" scenarios="1" selectLockedCells="1"/>
  <mergeCells count="31">
    <mergeCell ref="D8:E8"/>
    <mergeCell ref="D7:E7"/>
    <mergeCell ref="M10:N10"/>
    <mergeCell ref="M26:N26"/>
    <mergeCell ref="M27:N27"/>
    <mergeCell ref="M7:N7"/>
    <mergeCell ref="M8:N8"/>
    <mergeCell ref="B37:H37"/>
    <mergeCell ref="K37:Q37"/>
    <mergeCell ref="N28:O28"/>
    <mergeCell ref="N29:O29"/>
    <mergeCell ref="A38:A39"/>
    <mergeCell ref="D10:E10"/>
    <mergeCell ref="J15:J16"/>
    <mergeCell ref="K15:K16"/>
    <mergeCell ref="E28:F28"/>
    <mergeCell ref="E29:F29"/>
    <mergeCell ref="D26:E26"/>
    <mergeCell ref="D27:E27"/>
    <mergeCell ref="H7:K11"/>
    <mergeCell ref="H13:J13"/>
    <mergeCell ref="H15:H16"/>
    <mergeCell ref="C1:G1"/>
    <mergeCell ref="L1:P1"/>
    <mergeCell ref="H3:K3"/>
    <mergeCell ref="H4:K6"/>
    <mergeCell ref="M5:N5"/>
    <mergeCell ref="M6:N6"/>
    <mergeCell ref="D6:E6"/>
    <mergeCell ref="D5:E5"/>
    <mergeCell ref="M9:N9"/>
  </mergeCells>
  <conditionalFormatting sqref="O39:P504 K39:L504 M39">
    <cfRule type="expression" priority="1" dxfId="0" stopIfTrue="1">
      <formula>$L39&lt;&gt;" "</formula>
    </cfRule>
  </conditionalFormatting>
  <conditionalFormatting sqref="N39:N519">
    <cfRule type="expression" priority="2" dxfId="0" stopIfTrue="1">
      <formula>L39&lt;&gt;" "</formula>
    </cfRule>
  </conditionalFormatting>
  <conditionalFormatting sqref="A41:A519 E39:G519 B39:C519 K505:L519 O505:P519">
    <cfRule type="expression" priority="3" dxfId="0" stopIfTrue="1">
      <formula>$B39&lt;&gt;" "</formula>
    </cfRule>
  </conditionalFormatting>
  <conditionalFormatting sqref="H40:H519 I39:I519 Q39:R519">
    <cfRule type="expression" priority="4" dxfId="1" stopIfTrue="1">
      <formula>$B39&lt;&gt;" "</formula>
    </cfRule>
  </conditionalFormatting>
  <conditionalFormatting sqref="J39:J519">
    <cfRule type="expression" priority="5" dxfId="2" stopIfTrue="1">
      <formula>$L39&lt;&gt;" "</formula>
    </cfRule>
  </conditionalFormatting>
  <conditionalFormatting sqref="D39">
    <cfRule type="expression" priority="6" dxfId="3" stopIfTrue="1">
      <formula>$H39&lt;&gt;""</formula>
    </cfRule>
    <cfRule type="expression" priority="7" dxfId="0" stopIfTrue="1">
      <formula>$C39&lt;&gt;" "</formula>
    </cfRule>
  </conditionalFormatting>
  <conditionalFormatting sqref="D40:D519">
    <cfRule type="expression" priority="8" dxfId="3" stopIfTrue="1">
      <formula>$H39&lt;&gt;""</formula>
    </cfRule>
    <cfRule type="expression" priority="9" dxfId="0" stopIfTrue="1">
      <formula>$C40&lt;&gt;" "</formula>
    </cfRule>
  </conditionalFormatting>
  <conditionalFormatting sqref="M40:M519">
    <cfRule type="expression" priority="10" dxfId="3" stopIfTrue="1">
      <formula>$Q39&lt;&gt;""</formula>
    </cfRule>
    <cfRule type="expression" priority="11" dxfId="0" stopIfTrue="1">
      <formula>$C40&lt;&gt;" "</formula>
    </cfRule>
  </conditionalFormatting>
  <dataValidations count="1">
    <dataValidation type="list" allowBlank="1" showInputMessage="1" showErrorMessage="1" sqref="G34:G35 P34:P35">
      <formula1>$S$34:$S$37</formula1>
    </dataValidation>
  </dataValidations>
  <printOptions/>
  <pageMargins left="0.37" right="0.39" top="0.37" bottom="0.33" header="0" footer="0"/>
  <pageSetup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KGaA, Darmstadt, Germany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M145862</dc:creator>
  <cp:keywords/>
  <dc:description/>
  <cp:lastModifiedBy>C&amp;R</cp:lastModifiedBy>
  <cp:lastPrinted>2012-02-05T12:32:46Z</cp:lastPrinted>
  <dcterms:created xsi:type="dcterms:W3CDTF">2012-02-05T08:53:46Z</dcterms:created>
  <dcterms:modified xsi:type="dcterms:W3CDTF">2012-02-18T00:02:22Z</dcterms:modified>
  <cp:category/>
  <cp:version/>
  <cp:contentType/>
  <cp:contentStatus/>
</cp:coreProperties>
</file>