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8505" tabRatio="271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T3" i="1" l="1"/>
  <c r="M3" i="1"/>
  <c r="T81" i="1"/>
  <c r="Q81" i="1"/>
  <c r="R81" i="1"/>
  <c r="S81" i="1"/>
  <c r="M81" i="1"/>
  <c r="N81" i="1"/>
  <c r="O81" i="1"/>
  <c r="P81" i="1"/>
  <c r="I81" i="1"/>
  <c r="J81" i="1"/>
  <c r="K81" i="1"/>
  <c r="L81" i="1"/>
  <c r="G81" i="1"/>
  <c r="H81" i="1"/>
  <c r="F81" i="1"/>
  <c r="D3" i="1" l="1"/>
  <c r="G7" i="1"/>
  <c r="J56" i="1"/>
  <c r="I56" i="1"/>
  <c r="H56" i="1"/>
  <c r="G56" i="1"/>
  <c r="F56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3" i="1" l="1"/>
  <c r="G33" i="1" l="1"/>
  <c r="B30" i="1" l="1"/>
  <c r="C30" i="1"/>
  <c r="D40" i="1" s="1"/>
  <c r="F30" i="1"/>
  <c r="H15" i="1"/>
  <c r="E15" i="1" s="1"/>
  <c r="G4" i="1"/>
  <c r="H4" i="1" s="1"/>
  <c r="G5" i="1"/>
  <c r="H5" i="1" s="1"/>
  <c r="G6" i="1"/>
  <c r="H6" i="1" s="1"/>
  <c r="G8" i="1"/>
  <c r="H8" i="1" s="1"/>
  <c r="G9" i="1"/>
  <c r="H9" i="1" s="1"/>
  <c r="E9" i="1" s="1"/>
  <c r="G10" i="1"/>
  <c r="H10" i="1" s="1"/>
  <c r="G11" i="1"/>
  <c r="H11" i="1" s="1"/>
  <c r="E11" i="1" s="1"/>
  <c r="G12" i="1"/>
  <c r="H12" i="1" s="1"/>
  <c r="G13" i="1"/>
  <c r="H13" i="1" s="1"/>
  <c r="E13" i="1" s="1"/>
  <c r="G14" i="1"/>
  <c r="H14" i="1" s="1"/>
  <c r="G15" i="1"/>
  <c r="G16" i="1"/>
  <c r="H16" i="1" s="1"/>
  <c r="G17" i="1"/>
  <c r="H17" i="1" s="1"/>
  <c r="E17" i="1" s="1"/>
  <c r="G18" i="1"/>
  <c r="H18" i="1" s="1"/>
  <c r="G19" i="1"/>
  <c r="H19" i="1" s="1"/>
  <c r="E19" i="1" s="1"/>
  <c r="G20" i="1"/>
  <c r="H20" i="1" s="1"/>
  <c r="G21" i="1"/>
  <c r="H21" i="1" s="1"/>
  <c r="E21" i="1" s="1"/>
  <c r="G22" i="1"/>
  <c r="H22" i="1" s="1"/>
  <c r="G23" i="1"/>
  <c r="H23" i="1" s="1"/>
  <c r="E23" i="1" s="1"/>
  <c r="G24" i="1"/>
  <c r="H24" i="1" s="1"/>
  <c r="G25" i="1"/>
  <c r="H25" i="1" s="1"/>
  <c r="E25" i="1" s="1"/>
  <c r="G26" i="1"/>
  <c r="H26" i="1" s="1"/>
  <c r="G27" i="1"/>
  <c r="H27" i="1" s="1"/>
  <c r="E27" i="1" s="1"/>
  <c r="G28" i="1"/>
  <c r="H28" i="1" s="1"/>
  <c r="G29" i="1"/>
  <c r="H29" i="1" s="1"/>
  <c r="E29" i="1" s="1"/>
  <c r="G3" i="1"/>
  <c r="H3" i="1" s="1"/>
  <c r="D41" i="1" l="1"/>
  <c r="E41" i="1" s="1"/>
  <c r="D47" i="1"/>
  <c r="D52" i="1"/>
  <c r="E3" i="1"/>
  <c r="I3" i="1"/>
  <c r="J3" i="1"/>
  <c r="E26" i="1"/>
  <c r="I26" i="1"/>
  <c r="J26" i="1"/>
  <c r="E22" i="1"/>
  <c r="I22" i="1"/>
  <c r="J22" i="1"/>
  <c r="E18" i="1"/>
  <c r="I18" i="1"/>
  <c r="J18" i="1"/>
  <c r="E14" i="1"/>
  <c r="I14" i="1"/>
  <c r="J14" i="1"/>
  <c r="E10" i="1"/>
  <c r="I10" i="1"/>
  <c r="J10" i="1"/>
  <c r="E6" i="1"/>
  <c r="I6" i="1"/>
  <c r="J6" i="1"/>
  <c r="E5" i="1"/>
  <c r="I5" i="1"/>
  <c r="J5" i="1"/>
  <c r="E28" i="1"/>
  <c r="J28" i="1"/>
  <c r="I28" i="1"/>
  <c r="E24" i="1"/>
  <c r="J24" i="1"/>
  <c r="I24" i="1"/>
  <c r="E20" i="1"/>
  <c r="J20" i="1"/>
  <c r="I20" i="1"/>
  <c r="E16" i="1"/>
  <c r="J16" i="1"/>
  <c r="I16" i="1"/>
  <c r="E12" i="1"/>
  <c r="J12" i="1"/>
  <c r="I12" i="1"/>
  <c r="E8" i="1"/>
  <c r="J8" i="1"/>
  <c r="I8" i="1"/>
  <c r="E4" i="1"/>
  <c r="J4" i="1"/>
  <c r="I4" i="1"/>
  <c r="I29" i="1"/>
  <c r="I25" i="1"/>
  <c r="I21" i="1"/>
  <c r="I17" i="1"/>
  <c r="I13" i="1"/>
  <c r="I9" i="1"/>
  <c r="J27" i="1"/>
  <c r="J23" i="1"/>
  <c r="J19" i="1"/>
  <c r="J15" i="1"/>
  <c r="J11" i="1"/>
  <c r="G30" i="1"/>
  <c r="I27" i="1"/>
  <c r="I23" i="1"/>
  <c r="I19" i="1"/>
  <c r="I15" i="1"/>
  <c r="I11" i="1"/>
  <c r="J29" i="1"/>
  <c r="J25" i="1"/>
  <c r="J21" i="1"/>
  <c r="J17" i="1"/>
  <c r="J13" i="1"/>
  <c r="J9" i="1"/>
  <c r="H7" i="1"/>
  <c r="E7" i="1" s="1"/>
  <c r="E33" i="1"/>
  <c r="P7" i="1" s="1"/>
  <c r="D34" i="1"/>
  <c r="E34" i="1" s="1"/>
  <c r="D35" i="1" l="1"/>
  <c r="G35" i="1" s="1"/>
  <c r="P19" i="1"/>
  <c r="P24" i="1"/>
  <c r="P9" i="1"/>
  <c r="P29" i="1"/>
  <c r="P14" i="1"/>
  <c r="K15" i="1"/>
  <c r="M15" i="1" s="1"/>
  <c r="P13" i="1"/>
  <c r="P25" i="1"/>
  <c r="P8" i="1"/>
  <c r="P18" i="1"/>
  <c r="P3" i="1"/>
  <c r="K19" i="1"/>
  <c r="L19" i="1" s="1"/>
  <c r="N19" i="1" s="1"/>
  <c r="P17" i="1"/>
  <c r="P27" i="1"/>
  <c r="P10" i="1"/>
  <c r="P22" i="1"/>
  <c r="K9" i="1"/>
  <c r="L9" i="1" s="1"/>
  <c r="N9" i="1" s="1"/>
  <c r="K25" i="1"/>
  <c r="M25" i="1" s="1"/>
  <c r="K12" i="1"/>
  <c r="L12" i="1" s="1"/>
  <c r="N12" i="1" s="1"/>
  <c r="K28" i="1"/>
  <c r="L28" i="1" s="1"/>
  <c r="N28" i="1" s="1"/>
  <c r="K5" i="1"/>
  <c r="L5" i="1" s="1"/>
  <c r="N5" i="1" s="1"/>
  <c r="K18" i="1"/>
  <c r="M18" i="1" s="1"/>
  <c r="P11" i="1"/>
  <c r="P21" i="1"/>
  <c r="P6" i="1"/>
  <c r="P16" i="1"/>
  <c r="P26" i="1"/>
  <c r="K17" i="1"/>
  <c r="L17" i="1" s="1"/>
  <c r="N17" i="1" s="1"/>
  <c r="K4" i="1"/>
  <c r="M4" i="1" s="1"/>
  <c r="K20" i="1"/>
  <c r="M20" i="1" s="1"/>
  <c r="K10" i="1"/>
  <c r="L10" i="1" s="1"/>
  <c r="N10" i="1" s="1"/>
  <c r="K26" i="1"/>
  <c r="M26" i="1" s="1"/>
  <c r="K23" i="1"/>
  <c r="M28" i="1"/>
  <c r="M5" i="1"/>
  <c r="J7" i="1"/>
  <c r="J30" i="1" s="1"/>
  <c r="K11" i="1"/>
  <c r="K27" i="1"/>
  <c r="K13" i="1"/>
  <c r="K29" i="1"/>
  <c r="K8" i="1"/>
  <c r="K24" i="1"/>
  <c r="K14" i="1"/>
  <c r="K3" i="1"/>
  <c r="M17" i="1"/>
  <c r="L20" i="1"/>
  <c r="N20" i="1" s="1"/>
  <c r="L26" i="1"/>
  <c r="N26" i="1" s="1"/>
  <c r="H30" i="1"/>
  <c r="F33" i="1" s="1"/>
  <c r="M19" i="1"/>
  <c r="K21" i="1"/>
  <c r="K16" i="1"/>
  <c r="K6" i="1"/>
  <c r="K22" i="1"/>
  <c r="P15" i="1"/>
  <c r="P23" i="1"/>
  <c r="P4" i="1"/>
  <c r="P12" i="1"/>
  <c r="P20" i="1"/>
  <c r="P28" i="1"/>
  <c r="I7" i="1"/>
  <c r="I30" i="1" s="1"/>
  <c r="G34" i="1"/>
  <c r="P5" i="1"/>
  <c r="L15" i="1" l="1"/>
  <c r="N15" i="1" s="1"/>
  <c r="D36" i="1"/>
  <c r="F36" i="1" s="1"/>
  <c r="D48" i="1"/>
  <c r="E35" i="1"/>
  <c r="R8" i="1" s="1"/>
  <c r="D53" i="1"/>
  <c r="E53" i="1" s="1"/>
  <c r="M12" i="1"/>
  <c r="F35" i="1"/>
  <c r="M9" i="1"/>
  <c r="M10" i="1"/>
  <c r="O20" i="1"/>
  <c r="L18" i="1"/>
  <c r="N18" i="1" s="1"/>
  <c r="O18" i="1" s="1"/>
  <c r="L25" i="1"/>
  <c r="N25" i="1" s="1"/>
  <c r="O25" i="1" s="1"/>
  <c r="O15" i="1"/>
  <c r="K7" i="1"/>
  <c r="K30" i="1" s="1"/>
  <c r="L4" i="1"/>
  <c r="N4" i="1" s="1"/>
  <c r="O4" i="1" s="1"/>
  <c r="P30" i="1"/>
  <c r="O10" i="1"/>
  <c r="M16" i="1"/>
  <c r="L16" i="1"/>
  <c r="N16" i="1" s="1"/>
  <c r="M14" i="1"/>
  <c r="L14" i="1"/>
  <c r="N14" i="1" s="1"/>
  <c r="M13" i="1"/>
  <c r="L13" i="1"/>
  <c r="N13" i="1" s="1"/>
  <c r="M23" i="1"/>
  <c r="L23" i="1"/>
  <c r="N23" i="1" s="1"/>
  <c r="M22" i="1"/>
  <c r="L22" i="1"/>
  <c r="N22" i="1" s="1"/>
  <c r="M21" i="1"/>
  <c r="L21" i="1"/>
  <c r="N21" i="1" s="1"/>
  <c r="M24" i="1"/>
  <c r="L24" i="1"/>
  <c r="N24" i="1" s="1"/>
  <c r="M27" i="1"/>
  <c r="L27" i="1"/>
  <c r="N27" i="1" s="1"/>
  <c r="O28" i="1"/>
  <c r="F34" i="1"/>
  <c r="M6" i="1"/>
  <c r="L6" i="1"/>
  <c r="O26" i="1"/>
  <c r="O17" i="1"/>
  <c r="M8" i="1"/>
  <c r="L8" i="1"/>
  <c r="N8" i="1" s="1"/>
  <c r="M11" i="1"/>
  <c r="L11" i="1"/>
  <c r="N11" i="1" s="1"/>
  <c r="O19" i="1"/>
  <c r="L3" i="1"/>
  <c r="N3" i="1" s="1"/>
  <c r="O3" i="1" s="1"/>
  <c r="M29" i="1"/>
  <c r="L29" i="1"/>
  <c r="N29" i="1" s="1"/>
  <c r="O5" i="1"/>
  <c r="O12" i="1"/>
  <c r="O9" i="1"/>
  <c r="Q5" i="1"/>
  <c r="Q9" i="1"/>
  <c r="Q13" i="1"/>
  <c r="Q17" i="1"/>
  <c r="Q21" i="1"/>
  <c r="Q25" i="1"/>
  <c r="Q29" i="1"/>
  <c r="Q7" i="1"/>
  <c r="Q11" i="1"/>
  <c r="Q19" i="1"/>
  <c r="Q23" i="1"/>
  <c r="Q20" i="1"/>
  <c r="Q6" i="1"/>
  <c r="Q10" i="1"/>
  <c r="Q14" i="1"/>
  <c r="Q18" i="1"/>
  <c r="Q22" i="1"/>
  <c r="Q26" i="1"/>
  <c r="Q3" i="1"/>
  <c r="Q15" i="1"/>
  <c r="Q27" i="1"/>
  <c r="Q4" i="1"/>
  <c r="Q8" i="1"/>
  <c r="Q12" i="1"/>
  <c r="Q16" i="1"/>
  <c r="Q24" i="1"/>
  <c r="Q28" i="1"/>
  <c r="R6" i="1"/>
  <c r="R23" i="1"/>
  <c r="R12" i="1"/>
  <c r="G37" i="1"/>
  <c r="D37" i="1" l="1"/>
  <c r="F37" i="1" s="1"/>
  <c r="R4" i="1"/>
  <c r="S4" i="1" s="1"/>
  <c r="T4" i="1" s="1"/>
  <c r="R25" i="1"/>
  <c r="S25" i="1" s="1"/>
  <c r="T25" i="1" s="1"/>
  <c r="R14" i="1"/>
  <c r="S14" i="1" s="1"/>
  <c r="T14" i="1" s="1"/>
  <c r="R18" i="1"/>
  <c r="R21" i="1"/>
  <c r="S21" i="1" s="1"/>
  <c r="T21" i="1" s="1"/>
  <c r="R26" i="1"/>
  <c r="S26" i="1" s="1"/>
  <c r="T26" i="1" s="1"/>
  <c r="R28" i="1"/>
  <c r="S28" i="1" s="1"/>
  <c r="T28" i="1" s="1"/>
  <c r="R7" i="1"/>
  <c r="S7" i="1" s="1"/>
  <c r="T7" i="1" s="1"/>
  <c r="R16" i="1"/>
  <c r="S16" i="1" s="1"/>
  <c r="T16" i="1" s="1"/>
  <c r="R13" i="1"/>
  <c r="S13" i="1" s="1"/>
  <c r="T13" i="1" s="1"/>
  <c r="R27" i="1"/>
  <c r="S27" i="1" s="1"/>
  <c r="T27" i="1" s="1"/>
  <c r="M7" i="1"/>
  <c r="M30" i="1" s="1"/>
  <c r="R22" i="1"/>
  <c r="S22" i="1" s="1"/>
  <c r="T22" i="1" s="1"/>
  <c r="R9" i="1"/>
  <c r="S9" i="1" s="1"/>
  <c r="T9" i="1" s="1"/>
  <c r="R20" i="1"/>
  <c r="S20" i="1" s="1"/>
  <c r="T20" i="1" s="1"/>
  <c r="R29" i="1"/>
  <c r="S29" i="1" s="1"/>
  <c r="T29" i="1" s="1"/>
  <c r="R15" i="1"/>
  <c r="S15" i="1" s="1"/>
  <c r="T15" i="1" s="1"/>
  <c r="R17" i="1"/>
  <c r="S17" i="1" s="1"/>
  <c r="T17" i="1" s="1"/>
  <c r="R5" i="1"/>
  <c r="S5" i="1" s="1"/>
  <c r="T5" i="1" s="1"/>
  <c r="R19" i="1"/>
  <c r="S19" i="1" s="1"/>
  <c r="T19" i="1" s="1"/>
  <c r="R10" i="1"/>
  <c r="S10" i="1" s="1"/>
  <c r="T10" i="1" s="1"/>
  <c r="R24" i="1"/>
  <c r="S24" i="1" s="1"/>
  <c r="T24" i="1" s="1"/>
  <c r="R3" i="1"/>
  <c r="S3" i="1" s="1"/>
  <c r="R11" i="1"/>
  <c r="S11" i="1" s="1"/>
  <c r="T11" i="1" s="1"/>
  <c r="O29" i="1"/>
  <c r="O8" i="1"/>
  <c r="L7" i="1"/>
  <c r="N7" i="1" s="1"/>
  <c r="O11" i="1"/>
  <c r="N6" i="1"/>
  <c r="O6" i="1" s="1"/>
  <c r="O27" i="1"/>
  <c r="O21" i="1"/>
  <c r="O23" i="1"/>
  <c r="O14" i="1"/>
  <c r="O24" i="1"/>
  <c r="O22" i="1"/>
  <c r="O13" i="1"/>
  <c r="O16" i="1"/>
  <c r="S12" i="1"/>
  <c r="T12" i="1" s="1"/>
  <c r="S18" i="1"/>
  <c r="T18" i="1" s="1"/>
  <c r="Q30" i="1"/>
  <c r="S23" i="1"/>
  <c r="T23" i="1" s="1"/>
  <c r="S6" i="1"/>
  <c r="S8" i="1"/>
  <c r="T8" i="1" s="1"/>
  <c r="L30" i="1" l="1"/>
  <c r="R30" i="1"/>
  <c r="N30" i="1"/>
  <c r="T6" i="1"/>
  <c r="S30" i="1"/>
  <c r="O7" i="1"/>
  <c r="O30" i="1" s="1"/>
  <c r="T30" i="1" l="1"/>
</calcChain>
</file>

<file path=xl/sharedStrings.xml><?xml version="1.0" encoding="utf-8"?>
<sst xmlns="http://schemas.openxmlformats.org/spreadsheetml/2006/main" count="159" uniqueCount="93">
  <si>
    <t>PRECIO</t>
  </si>
  <si>
    <t>IVA</t>
  </si>
  <si>
    <t>TOTAL</t>
  </si>
  <si>
    <t>RESTO CON IVA</t>
  </si>
  <si>
    <t>VALOR SUELO</t>
  </si>
  <si>
    <t>COSTE GESTORA</t>
  </si>
  <si>
    <t>PLANTA</t>
  </si>
  <si>
    <t>PUERTA</t>
  </si>
  <si>
    <t>1ª</t>
  </si>
  <si>
    <t>2ª</t>
  </si>
  <si>
    <t>3ª</t>
  </si>
  <si>
    <t>4ª</t>
  </si>
  <si>
    <t>5ª</t>
  </si>
  <si>
    <t>ATICO</t>
  </si>
  <si>
    <t>A</t>
  </si>
  <si>
    <t>B</t>
  </si>
  <si>
    <t>C</t>
  </si>
  <si>
    <t>D</t>
  </si>
  <si>
    <t>E</t>
  </si>
  <si>
    <t>COSTE SUELO</t>
  </si>
  <si>
    <t>M2</t>
  </si>
  <si>
    <t>APORT. TOT. SIN IVA</t>
  </si>
  <si>
    <t>m2 edificables</t>
  </si>
  <si>
    <t>precio m2</t>
  </si>
  <si>
    <t>precio medio m2 comunidad de madrid (4T 2012)</t>
  </si>
  <si>
    <t>*Total Comunidad</t>
  </si>
  <si>
    <t>*Total municipios de más de 50,000 habitantes</t>
  </si>
  <si>
    <t>COSTE I.V.A.</t>
  </si>
  <si>
    <t>a pagar a BBVA por el suelo</t>
  </si>
  <si>
    <t>a pagar a Cooperatium por la gestión</t>
  </si>
  <si>
    <t>total a pagar iva incluido</t>
  </si>
  <si>
    <t>Precio/M2</t>
  </si>
  <si>
    <t>Pr./M2 iva inc.</t>
  </si>
  <si>
    <t>COSTE RESTO (Obra, licencias, permisos, impuestos, etc)</t>
  </si>
  <si>
    <t>VALOR OBRA + RESTO</t>
  </si>
  <si>
    <t>a pagar al contructor por la obra + resto de gastos</t>
  </si>
  <si>
    <t>SUELO:</t>
  </si>
  <si>
    <t>por encima del precio medio de mercado.</t>
  </si>
  <si>
    <t>OBRA+RESTO:</t>
  </si>
  <si>
    <t>TOTAL:</t>
  </si>
  <si>
    <t>precio medio vivienda carabanchel:</t>
  </si>
  <si>
    <t>evolución precios vivienda</t>
  </si>
  <si>
    <t>por encima del precio medio de la zona.</t>
  </si>
  <si>
    <t>1Trimestre 2012</t>
  </si>
  <si>
    <t>2Trim. 2012</t>
  </si>
  <si>
    <t>3Trim. 2012</t>
  </si>
  <si>
    <t>4Trim. 2012</t>
  </si>
  <si>
    <t>1Trim. 2013</t>
  </si>
  <si>
    <t>2Trim. 2013</t>
  </si>
  <si>
    <t>(*) Ajustando el precio del suelo al precio medio de mercado (4º trim. 2012), habría que ajustar el precio de la obra en un 6% para que el precio final quede ajustado al precio medio de la vivienda (2º trim. 2013)</t>
  </si>
  <si>
    <t>(*) Para pagar a precio de mercado se debería revalorizar el sector, en 2 años (fecha entrega 2015), un 11,2%.</t>
  </si>
  <si>
    <t>(el pr./medio de carabanchel seguramente esté por encima de esta media regional)</t>
  </si>
  <si>
    <t>(el dato que dio cooperatium fue: 2256 m2.)</t>
  </si>
  <si>
    <t>Gestora:</t>
  </si>
  <si>
    <t>Constructora:</t>
  </si>
  <si>
    <t>Suelo:</t>
  </si>
  <si>
    <t>Al ser un precio en porcentaje sobre el total de coste, el montante total a pagar a la gestora depende del precio de suelo, obra y resto.</t>
  </si>
  <si>
    <t>Da la sensación de que sí que se han adecuado los precios a la baja (al no saber el coste de impuestos, permisos, licencias, etc, esto es difícil de decir).</t>
  </si>
  <si>
    <t>Según los números basados en precios medios de la zona, lo que nos dicen es que este precio está ligeramente por encima del precio de mercado (aproximadamente un 6%)</t>
  </si>
  <si>
    <t>Situación:</t>
  </si>
  <si>
    <t>En 2014 la tendencia se debería dar la vuelta, porque en caso contrario, estaríamos comprando una vivienda hoy, que el día que nos la entreguen va a costar menos dinero:</t>
  </si>
  <si>
    <t>Por un lado, todo lo que siga bajando el sector.</t>
  </si>
  <si>
    <t>*</t>
  </si>
  <si>
    <t>Este margen por encima de mercado podría justificarse con las calidades, aunque yo personalmente no las vea muy claras.</t>
  </si>
  <si>
    <t>Algunas Conclusiones:</t>
  </si>
  <si>
    <t>(*) En Rojo 11 de los pisos que ya están reservados. El último dato que tengo es que a la fecha actual (junio'13) ya hay 16 pisos reservados.</t>
  </si>
  <si>
    <t>El precio/m2 se calcula teniendo en cuenta los m2 edificables (2594,30), no los que comunicó la gestora (2256), que sería aún más caro. Ni los m2 reales del terreno (que serán unos 500-700 m2), porque en este caso el precio/m2 que sale es un disparate.</t>
  </si>
  <si>
    <t>El posible sobreprecio del suelo no es posible justificarlo como el de la obra (por las calidades o las mejoras por encima de lo normal de la promoción, etc.).</t>
  </si>
  <si>
    <t>Y por otro lado, todo el margen por encima del mercado actual al que supuestamente puedan estar estos precios.</t>
  </si>
  <si>
    <t>Y esto dentro de un mercado a la baja que -si queremos que este precio sea ajustado- debería cambiar ya la tendencia (y fuertemente) este mismo año… cuando la situación es que este año se ha pronunciado de nuevo la caída.</t>
  </si>
  <si>
    <t>evolución:</t>
  </si>
  <si>
    <t>Es lo más caro de la promoción. En mi opinión el precio del suelo está claramente por encima del mercado actual.</t>
  </si>
  <si>
    <t>Posiblemente el precio del suelo se fijó al precio medio del momento en que se iniciara este proyecto por parte de bbva, posiblemente en 2011, o quizá antes -o puede que a inicios de 2012-.</t>
  </si>
  <si>
    <t>La realidad es que al empezar a publicitar la promoción ese precio ya es caro, y a día de hoy, otro poco más caro, pues la evolución del sector está siendo fuertemente a la baja.</t>
  </si>
  <si>
    <t>La conclusión de este análisis es que se han fijado los precios en 2011, para unas viviendas que hay que pagar en 2012, y que la fecha de disposición (fecha real de la compra/venta) es 2015.</t>
  </si>
  <si>
    <t>1º</t>
  </si>
  <si>
    <t>2º</t>
  </si>
  <si>
    <t>3º</t>
  </si>
  <si>
    <t>4º</t>
  </si>
  <si>
    <t>evolución precios suelo</t>
  </si>
  <si>
    <t>precio  suelo Madrid (municipios &gt; 50.000 hab.:</t>
  </si>
  <si>
    <t>2009 (trimestre)</t>
  </si>
  <si>
    <t xml:space="preserve"> 2010 (trimestre)</t>
  </si>
  <si>
    <t>2011 (trimestre)</t>
  </si>
  <si>
    <t>2012 (trimestre)</t>
  </si>
  <si>
    <t>(*) Sin datos aún de 2013.</t>
  </si>
  <si>
    <t>Precio adecuado, de los más bajos del sector. El precio máximo que puede cobrar es el 12%, la media suele estar en el 10%. Cobran un 8% según nos dijo el director del bbva.</t>
  </si>
  <si>
    <r>
      <t xml:space="preserve">RESTO SIN IVA </t>
    </r>
    <r>
      <rPr>
        <b/>
        <sz val="12"/>
        <color rgb="FFFF0000"/>
        <rFont val="Calibri"/>
        <family val="2"/>
        <scheme val="minor"/>
      </rPr>
      <t>(Hipoteca)</t>
    </r>
  </si>
  <si>
    <r>
      <t xml:space="preserve">IVA </t>
    </r>
    <r>
      <rPr>
        <b/>
        <sz val="11"/>
        <color rgb="FFFF0000"/>
        <rFont val="Calibri"/>
        <family val="2"/>
        <scheme val="minor"/>
      </rPr>
      <t>(hay que pagar el 100% a la entrega)</t>
    </r>
  </si>
  <si>
    <t>TOTAL APORT. (iva incl.)</t>
  </si>
  <si>
    <t>APORT. INICIAL    (a inicio de obra)</t>
  </si>
  <si>
    <t>22 COUTAS (mensuales de inicio a fin de obra)</t>
  </si>
  <si>
    <t>COSTE FINAL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</si>
</sst>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43" fontId="0" fillId="0" borderId="0" xfId="1" applyFont="1"/>
    <xf numFmtId="10" fontId="0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43" fontId="5" fillId="0" borderId="1" xfId="0" applyNumberFormat="1" applyFont="1" applyBorder="1"/>
    <xf numFmtId="43" fontId="6" fillId="0" borderId="1" xfId="0" applyNumberFormat="1" applyFont="1" applyBorder="1"/>
    <xf numFmtId="43" fontId="6" fillId="0" borderId="1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0" fontId="7" fillId="0" borderId="0" xfId="0" applyFont="1"/>
    <xf numFmtId="43" fontId="7" fillId="0" borderId="0" xfId="1" applyFont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Fill="1" applyBorder="1"/>
    <xf numFmtId="43" fontId="0" fillId="0" borderId="0" xfId="1" applyFont="1" applyAlignment="1">
      <alignment horizontal="right"/>
    </xf>
    <xf numFmtId="10" fontId="0" fillId="0" borderId="0" xfId="2" applyNumberFormat="1" applyFont="1"/>
    <xf numFmtId="43" fontId="2" fillId="0" borderId="1" xfId="0" applyNumberFormat="1" applyFont="1" applyBorder="1"/>
    <xf numFmtId="43" fontId="12" fillId="0" borderId="1" xfId="0" applyNumberFormat="1" applyFont="1" applyBorder="1"/>
    <xf numFmtId="43" fontId="12" fillId="0" borderId="1" xfId="1" applyFont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1" applyFont="1" applyFill="1" applyAlignment="1">
      <alignment horizontal="center"/>
    </xf>
    <xf numFmtId="43" fontId="0" fillId="2" borderId="0" xfId="0" applyNumberFormat="1" applyFill="1"/>
    <xf numFmtId="10" fontId="0" fillId="2" borderId="0" xfId="2" applyNumberFormat="1" applyFont="1" applyFill="1"/>
    <xf numFmtId="0" fontId="0" fillId="2" borderId="0" xfId="0" applyFill="1"/>
    <xf numFmtId="43" fontId="0" fillId="0" borderId="0" xfId="1" applyFont="1" applyAlignment="1">
      <alignment horizontal="left"/>
    </xf>
    <xf numFmtId="43" fontId="14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1" applyFont="1" applyFill="1" applyAlignment="1">
      <alignment horizontal="right"/>
    </xf>
    <xf numFmtId="0" fontId="0" fillId="4" borderId="0" xfId="0" applyFill="1"/>
    <xf numFmtId="10" fontId="0" fillId="4" borderId="0" xfId="2" applyNumberFormat="1" applyFont="1" applyFill="1"/>
    <xf numFmtId="164" fontId="0" fillId="4" borderId="0" xfId="1" applyNumberFormat="1" applyFont="1" applyFill="1"/>
    <xf numFmtId="0" fontId="0" fillId="5" borderId="0" xfId="0" applyFill="1" applyAlignment="1">
      <alignment horizontal="center"/>
    </xf>
    <xf numFmtId="43" fontId="0" fillId="5" borderId="0" xfId="1" applyFont="1" applyFill="1" applyAlignment="1">
      <alignment horizontal="center"/>
    </xf>
    <xf numFmtId="43" fontId="0" fillId="5" borderId="0" xfId="1" applyFont="1" applyFill="1"/>
    <xf numFmtId="43" fontId="0" fillId="5" borderId="0" xfId="1" applyFont="1" applyFill="1" applyAlignment="1">
      <alignment horizontal="right"/>
    </xf>
    <xf numFmtId="164" fontId="0" fillId="5" borderId="0" xfId="1" applyNumberFormat="1" applyFont="1" applyFill="1"/>
    <xf numFmtId="0" fontId="0" fillId="6" borderId="0" xfId="0" applyFill="1" applyAlignment="1">
      <alignment horizontal="center"/>
    </xf>
    <xf numFmtId="43" fontId="0" fillId="6" borderId="0" xfId="1" applyFont="1" applyFill="1" applyAlignment="1">
      <alignment horizontal="center"/>
    </xf>
    <xf numFmtId="43" fontId="0" fillId="6" borderId="0" xfId="1" applyFont="1" applyFill="1"/>
    <xf numFmtId="43" fontId="0" fillId="6" borderId="0" xfId="1" applyFont="1" applyFill="1" applyAlignment="1">
      <alignment horizontal="right"/>
    </xf>
    <xf numFmtId="164" fontId="0" fillId="6" borderId="0" xfId="1" applyNumberFormat="1" applyFont="1" applyFill="1"/>
    <xf numFmtId="10" fontId="0" fillId="6" borderId="0" xfId="2" applyNumberFormat="1" applyFont="1" applyFill="1" applyAlignment="1">
      <alignment horizontal="right"/>
    </xf>
    <xf numFmtId="0" fontId="0" fillId="6" borderId="0" xfId="0" applyFill="1"/>
    <xf numFmtId="0" fontId="0" fillId="7" borderId="0" xfId="0" applyFill="1" applyAlignment="1">
      <alignment horizontal="center"/>
    </xf>
    <xf numFmtId="43" fontId="0" fillId="7" borderId="0" xfId="1" applyFont="1" applyFill="1" applyAlignment="1">
      <alignment horizontal="left"/>
    </xf>
    <xf numFmtId="43" fontId="0" fillId="7" borderId="0" xfId="1" applyFont="1" applyFill="1" applyAlignment="1">
      <alignment horizontal="right"/>
    </xf>
    <xf numFmtId="0" fontId="16" fillId="7" borderId="2" xfId="0" applyFont="1" applyFill="1" applyBorder="1" applyAlignment="1">
      <alignment horizontal="right"/>
    </xf>
    <xf numFmtId="3" fontId="15" fillId="7" borderId="3" xfId="0" applyNumberFormat="1" applyFont="1" applyFill="1" applyBorder="1"/>
    <xf numFmtId="0" fontId="17" fillId="0" borderId="0" xfId="0" applyFont="1" applyAlignment="1">
      <alignment horizontal="left"/>
    </xf>
    <xf numFmtId="3" fontId="15" fillId="7" borderId="0" xfId="0" applyNumberFormat="1" applyFont="1" applyFill="1" applyBorder="1"/>
    <xf numFmtId="10" fontId="15" fillId="7" borderId="0" xfId="2" applyNumberFormat="1" applyFont="1" applyFill="1" applyBorder="1"/>
    <xf numFmtId="43" fontId="18" fillId="0" borderId="0" xfId="1" applyFont="1"/>
    <xf numFmtId="10" fontId="0" fillId="3" borderId="0" xfId="2" applyNumberFormat="1" applyFont="1" applyFill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1" fillId="0" borderId="0" xfId="0" applyFont="1" applyAlignment="1">
      <alignment horizontal="left"/>
    </xf>
    <xf numFmtId="3" fontId="22" fillId="7" borderId="1" xfId="0" applyNumberFormat="1" applyFont="1" applyFill="1" applyBorder="1" applyAlignment="1">
      <alignment horizontal="center" vertical="center"/>
    </xf>
    <xf numFmtId="0" fontId="23" fillId="7" borderId="1" xfId="0" applyNumberFormat="1" applyFont="1" applyFill="1" applyBorder="1" applyAlignment="1">
      <alignment horizontal="center" vertical="center"/>
    </xf>
    <xf numFmtId="0" fontId="24" fillId="7" borderId="1" xfId="0" applyNumberFormat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left"/>
    </xf>
    <xf numFmtId="10" fontId="0" fillId="7" borderId="1" xfId="2" applyNumberFormat="1" applyFont="1" applyFill="1" applyBorder="1"/>
    <xf numFmtId="43" fontId="25" fillId="7" borderId="1" xfId="1" applyFont="1" applyFill="1" applyBorder="1" applyAlignment="1">
      <alignment horizontal="right"/>
    </xf>
    <xf numFmtId="43" fontId="26" fillId="7" borderId="1" xfId="1" applyFont="1" applyFill="1" applyBorder="1" applyAlignment="1">
      <alignment horizontal="right"/>
    </xf>
    <xf numFmtId="43" fontId="17" fillId="0" borderId="0" xfId="1" applyFont="1" applyAlignment="1">
      <alignment horizontal="left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tabSelected="1" topLeftCell="A2" zoomScale="85" zoomScaleNormal="85" workbookViewId="0">
      <pane xSplit="4" ySplit="1" topLeftCell="E3" activePane="bottomRight" state="frozen"/>
      <selection activeCell="A2" sqref="A2"/>
      <selection pane="topRight" activeCell="E2" sqref="E2"/>
      <selection pane="bottomLeft" activeCell="A3" sqref="A3"/>
      <selection pane="bottomRight" activeCell="F7" sqref="F7"/>
    </sheetView>
  </sheetViews>
  <sheetFormatPr baseColWidth="10" defaultRowHeight="15" x14ac:dyDescent="0.25"/>
  <cols>
    <col min="1" max="1" width="8.85546875" style="3" customWidth="1"/>
    <col min="2" max="2" width="8.7109375" style="3" customWidth="1"/>
    <col min="3" max="3" width="13.42578125" style="4" customWidth="1"/>
    <col min="4" max="4" width="15.5703125" style="4" customWidth="1"/>
    <col min="5" max="5" width="15.140625" style="4" bestFit="1" customWidth="1"/>
    <col min="6" max="6" width="17" style="1" bestFit="1" customWidth="1"/>
    <col min="7" max="7" width="15" bestFit="1" customWidth="1"/>
    <col min="8" max="9" width="17" bestFit="1" customWidth="1"/>
    <col min="10" max="10" width="18.28515625" customWidth="1"/>
    <col min="11" max="12" width="17" style="1" bestFit="1" customWidth="1"/>
    <col min="13" max="14" width="17" bestFit="1" customWidth="1"/>
    <col min="15" max="15" width="15" bestFit="1" customWidth="1"/>
    <col min="16" max="16" width="17" bestFit="1" customWidth="1"/>
    <col min="17" max="17" width="15.28515625" bestFit="1" customWidth="1"/>
    <col min="18" max="18" width="21" customWidth="1"/>
    <col min="19" max="19" width="15" bestFit="1" customWidth="1"/>
    <col min="20" max="20" width="17" bestFit="1" customWidth="1"/>
  </cols>
  <sheetData>
    <row r="1" spans="1:20" x14ac:dyDescent="0.25">
      <c r="N1" s="16"/>
    </row>
    <row r="2" spans="1:20" s="40" customFormat="1" ht="45" x14ac:dyDescent="0.25">
      <c r="A2" s="32" t="s">
        <v>6</v>
      </c>
      <c r="B2" s="32" t="s">
        <v>7</v>
      </c>
      <c r="C2" s="33" t="s">
        <v>20</v>
      </c>
      <c r="D2" s="34" t="s">
        <v>31</v>
      </c>
      <c r="E2" s="34" t="s">
        <v>32</v>
      </c>
      <c r="F2" s="35" t="s">
        <v>0</v>
      </c>
      <c r="G2" s="36" t="s">
        <v>1</v>
      </c>
      <c r="H2" s="36" t="s">
        <v>2</v>
      </c>
      <c r="I2" s="85" t="s">
        <v>90</v>
      </c>
      <c r="J2" s="85" t="s">
        <v>91</v>
      </c>
      <c r="K2" s="84" t="s">
        <v>89</v>
      </c>
      <c r="L2" s="84" t="s">
        <v>21</v>
      </c>
      <c r="M2" s="37" t="s">
        <v>3</v>
      </c>
      <c r="N2" s="41" t="s">
        <v>87</v>
      </c>
      <c r="O2" s="38" t="s">
        <v>88</v>
      </c>
      <c r="P2" s="39" t="s">
        <v>19</v>
      </c>
      <c r="Q2" s="39" t="s">
        <v>5</v>
      </c>
      <c r="R2" s="42" t="s">
        <v>33</v>
      </c>
      <c r="S2" s="39" t="s">
        <v>27</v>
      </c>
      <c r="T2" s="42" t="s">
        <v>92</v>
      </c>
    </row>
    <row r="3" spans="1:20" x14ac:dyDescent="0.25">
      <c r="A3" s="73" t="s">
        <v>8</v>
      </c>
      <c r="B3" s="73" t="s">
        <v>14</v>
      </c>
      <c r="C3" s="74">
        <v>112.02</v>
      </c>
      <c r="D3" s="31">
        <f>F3/C3</f>
        <v>1888.2878057489734</v>
      </c>
      <c r="E3" s="31">
        <f>H3/C3</f>
        <v>2077.1165863238707</v>
      </c>
      <c r="F3" s="5">
        <v>211526</v>
      </c>
      <c r="G3" s="6">
        <f>F3*10%</f>
        <v>21152.600000000002</v>
      </c>
      <c r="H3" s="20">
        <f>F3+G3</f>
        <v>232678.6</v>
      </c>
      <c r="I3" s="8">
        <f>H3*20%</f>
        <v>46535.72</v>
      </c>
      <c r="J3" s="8">
        <f>H3*5%/22</f>
        <v>528.81500000000005</v>
      </c>
      <c r="K3" s="9">
        <f>(I3+J3*22)</f>
        <v>58169.65</v>
      </c>
      <c r="L3" s="9">
        <f>K3/1.1</f>
        <v>52881.5</v>
      </c>
      <c r="M3" s="7">
        <f>H3-K3</f>
        <v>174508.95</v>
      </c>
      <c r="N3" s="7">
        <f>F3-L3</f>
        <v>158644.5</v>
      </c>
      <c r="O3" s="7">
        <f>N3*10%</f>
        <v>15864.45</v>
      </c>
      <c r="P3" s="21">
        <f t="shared" ref="P3:P29" si="0">F3*$E$33</f>
        <v>76060.448882117111</v>
      </c>
      <c r="Q3" s="21">
        <f t="shared" ref="Q3:Q29" si="1">F3*$E$34</f>
        <v>16922.080000000002</v>
      </c>
      <c r="R3" s="21">
        <f>F3*$E$35</f>
        <v>118543.47111788287</v>
      </c>
      <c r="S3" s="22">
        <f>(R3+P3+Q3)*0.1</f>
        <v>21152.600000000002</v>
      </c>
      <c r="T3" s="21">
        <f>SUM(P3:S3)</f>
        <v>232678.6</v>
      </c>
    </row>
    <row r="4" spans="1:20" x14ac:dyDescent="0.25">
      <c r="A4" s="14" t="s">
        <v>8</v>
      </c>
      <c r="B4" s="14" t="s">
        <v>15</v>
      </c>
      <c r="C4" s="15">
        <v>91.15</v>
      </c>
      <c r="D4" s="31">
        <f t="shared" ref="D4:D29" si="2">F4/C4</f>
        <v>1882.9127811300054</v>
      </c>
      <c r="E4" s="31">
        <f t="shared" ref="E4:E29" si="3">H4/C4</f>
        <v>2071.2040592430058</v>
      </c>
      <c r="F4" s="5">
        <v>171627.5</v>
      </c>
      <c r="G4" s="6">
        <f t="shared" ref="G4:G29" si="4">F4*10%</f>
        <v>17162.75</v>
      </c>
      <c r="H4" s="20">
        <f t="shared" ref="H4:H29" si="5">F4+G4</f>
        <v>188790.25</v>
      </c>
      <c r="I4" s="8">
        <f t="shared" ref="I4:I29" si="6">H4*20%</f>
        <v>37758.050000000003</v>
      </c>
      <c r="J4" s="8">
        <f t="shared" ref="J4:J29" si="7">H4*5%/22</f>
        <v>429.06875000000002</v>
      </c>
      <c r="K4" s="9">
        <f t="shared" ref="K4:K29" si="8">(I4+J4*22)</f>
        <v>47197.5625</v>
      </c>
      <c r="L4" s="9">
        <f t="shared" ref="L4:L29" si="9">K4/1.1</f>
        <v>42906.875</v>
      </c>
      <c r="M4" s="7">
        <f t="shared" ref="M4:M29" si="10">H4-K4</f>
        <v>141592.6875</v>
      </c>
      <c r="N4" s="7">
        <f t="shared" ref="N4:N29" si="11">F4-L4</f>
        <v>128720.625</v>
      </c>
      <c r="O4" s="7">
        <f t="shared" ref="O4:O29" si="12">N4*10%</f>
        <v>12872.0625</v>
      </c>
      <c r="P4" s="21">
        <f t="shared" si="0"/>
        <v>61713.759492996396</v>
      </c>
      <c r="Q4" s="21">
        <f t="shared" si="1"/>
        <v>13730.2</v>
      </c>
      <c r="R4" s="21">
        <f>F4*$E$35</f>
        <v>96183.540507003592</v>
      </c>
      <c r="S4" s="22">
        <f>(R4+P4+Q4)*0.1</f>
        <v>17162.75</v>
      </c>
      <c r="T4" s="21">
        <f>SUM(P4:S4)</f>
        <v>188790.25</v>
      </c>
    </row>
    <row r="5" spans="1:20" x14ac:dyDescent="0.25">
      <c r="A5" s="73" t="s">
        <v>8</v>
      </c>
      <c r="B5" s="73" t="s">
        <v>16</v>
      </c>
      <c r="C5" s="74">
        <v>91.13</v>
      </c>
      <c r="D5" s="31">
        <f t="shared" si="2"/>
        <v>1882.9200043893341</v>
      </c>
      <c r="E5" s="31">
        <f t="shared" si="3"/>
        <v>2071.2120048282673</v>
      </c>
      <c r="F5" s="5">
        <v>171590.5</v>
      </c>
      <c r="G5" s="6">
        <f t="shared" si="4"/>
        <v>17159.05</v>
      </c>
      <c r="H5" s="20">
        <f t="shared" si="5"/>
        <v>188749.55</v>
      </c>
      <c r="I5" s="8">
        <f t="shared" si="6"/>
        <v>37749.909999999996</v>
      </c>
      <c r="J5" s="8">
        <f t="shared" si="7"/>
        <v>428.97624999999994</v>
      </c>
      <c r="K5" s="9">
        <f t="shared" si="8"/>
        <v>47187.387499999997</v>
      </c>
      <c r="L5" s="9">
        <f t="shared" si="9"/>
        <v>42897.624999999993</v>
      </c>
      <c r="M5" s="7">
        <f t="shared" si="10"/>
        <v>141562.16249999998</v>
      </c>
      <c r="N5" s="7">
        <f t="shared" si="11"/>
        <v>128692.875</v>
      </c>
      <c r="O5" s="7">
        <f t="shared" si="12"/>
        <v>12869.2875</v>
      </c>
      <c r="P5" s="21">
        <f t="shared" si="0"/>
        <v>61700.455045275361</v>
      </c>
      <c r="Q5" s="21">
        <f t="shared" si="1"/>
        <v>13727.24</v>
      </c>
      <c r="R5" s="21">
        <f>F5*$E$35</f>
        <v>96162.804954724619</v>
      </c>
      <c r="S5" s="22">
        <f>(R5+P5+Q5)*0.1</f>
        <v>17159.05</v>
      </c>
      <c r="T5" s="21">
        <f>SUM(P5:S5)</f>
        <v>188749.55</v>
      </c>
    </row>
    <row r="6" spans="1:20" x14ac:dyDescent="0.25">
      <c r="A6" s="14" t="s">
        <v>8</v>
      </c>
      <c r="B6" s="14" t="s">
        <v>17</v>
      </c>
      <c r="C6" s="15">
        <v>79.739999999999995</v>
      </c>
      <c r="D6" s="31">
        <f t="shared" si="2"/>
        <v>1887.6222723852522</v>
      </c>
      <c r="E6" s="31">
        <f t="shared" si="3"/>
        <v>2076.3844996237772</v>
      </c>
      <c r="F6" s="5">
        <v>150519</v>
      </c>
      <c r="G6" s="6">
        <f t="shared" si="4"/>
        <v>15051.900000000001</v>
      </c>
      <c r="H6" s="20">
        <f t="shared" si="5"/>
        <v>165570.9</v>
      </c>
      <c r="I6" s="8">
        <f t="shared" si="6"/>
        <v>33114.18</v>
      </c>
      <c r="J6" s="8">
        <f t="shared" si="7"/>
        <v>376.29750000000001</v>
      </c>
      <c r="K6" s="9">
        <f t="shared" si="8"/>
        <v>41392.724999999999</v>
      </c>
      <c r="L6" s="9">
        <f t="shared" si="9"/>
        <v>37629.749999999993</v>
      </c>
      <c r="M6" s="7">
        <f t="shared" si="10"/>
        <v>124178.17499999999</v>
      </c>
      <c r="N6" s="7">
        <f t="shared" si="11"/>
        <v>112889.25</v>
      </c>
      <c r="O6" s="7">
        <f t="shared" si="12"/>
        <v>11288.925000000001</v>
      </c>
      <c r="P6" s="21">
        <f t="shared" si="0"/>
        <v>54123.572068149479</v>
      </c>
      <c r="Q6" s="21">
        <f t="shared" si="1"/>
        <v>12041.52</v>
      </c>
      <c r="R6" s="21">
        <f>F6*$E$35</f>
        <v>84353.90793185051</v>
      </c>
      <c r="S6" s="22">
        <f>(R6+P6+Q6)*0.1</f>
        <v>15051.899999999998</v>
      </c>
      <c r="T6" s="21">
        <f>SUM(P6:S6)</f>
        <v>165570.9</v>
      </c>
    </row>
    <row r="7" spans="1:20" x14ac:dyDescent="0.25">
      <c r="A7" s="73" t="s">
        <v>9</v>
      </c>
      <c r="B7" s="73" t="s">
        <v>14</v>
      </c>
      <c r="C7" s="74">
        <v>112.02</v>
      </c>
      <c r="D7" s="31">
        <f t="shared" si="2"/>
        <v>1976.7809319764328</v>
      </c>
      <c r="E7" s="31">
        <f t="shared" si="3"/>
        <v>2174.459025174076</v>
      </c>
      <c r="F7" s="5">
        <v>221439</v>
      </c>
      <c r="G7" s="6">
        <f t="shared" si="4"/>
        <v>22143.9</v>
      </c>
      <c r="H7" s="20">
        <f t="shared" si="5"/>
        <v>243582.9</v>
      </c>
      <c r="I7" s="8">
        <f t="shared" si="6"/>
        <v>48716.58</v>
      </c>
      <c r="J7" s="8">
        <f t="shared" si="7"/>
        <v>553.59749999999997</v>
      </c>
      <c r="K7" s="9">
        <f t="shared" si="8"/>
        <v>60895.724999999999</v>
      </c>
      <c r="L7" s="9">
        <f t="shared" si="9"/>
        <v>55359.749999999993</v>
      </c>
      <c r="M7" s="7">
        <f t="shared" si="10"/>
        <v>182687.17499999999</v>
      </c>
      <c r="N7" s="7">
        <f t="shared" si="11"/>
        <v>166079.25</v>
      </c>
      <c r="O7" s="7">
        <f t="shared" si="12"/>
        <v>16607.924999999999</v>
      </c>
      <c r="P7" s="21">
        <f t="shared" si="0"/>
        <v>79624.962132348417</v>
      </c>
      <c r="Q7" s="21">
        <f t="shared" si="1"/>
        <v>17715.12</v>
      </c>
      <c r="R7" s="21">
        <f>F7*$E$35</f>
        <v>124098.91786765156</v>
      </c>
      <c r="S7" s="22">
        <f>(R7+P7+Q7)*0.1</f>
        <v>22143.899999999998</v>
      </c>
      <c r="T7" s="21">
        <f>SUM(P7:S7)</f>
        <v>243582.89999999997</v>
      </c>
    </row>
    <row r="8" spans="1:20" x14ac:dyDescent="0.25">
      <c r="A8" s="73" t="s">
        <v>9</v>
      </c>
      <c r="B8" s="73" t="s">
        <v>15</v>
      </c>
      <c r="C8" s="74">
        <v>96</v>
      </c>
      <c r="D8" s="31">
        <f t="shared" si="2"/>
        <v>1981.25</v>
      </c>
      <c r="E8" s="31">
        <f t="shared" si="3"/>
        <v>2179.375</v>
      </c>
      <c r="F8" s="5">
        <v>190200</v>
      </c>
      <c r="G8" s="6">
        <f t="shared" si="4"/>
        <v>19020</v>
      </c>
      <c r="H8" s="20">
        <f t="shared" si="5"/>
        <v>209220</v>
      </c>
      <c r="I8" s="8">
        <f t="shared" si="6"/>
        <v>41844</v>
      </c>
      <c r="J8" s="8">
        <f t="shared" si="7"/>
        <v>475.5</v>
      </c>
      <c r="K8" s="9">
        <f t="shared" si="8"/>
        <v>52305</v>
      </c>
      <c r="L8" s="9">
        <f t="shared" si="9"/>
        <v>47549.999999999993</v>
      </c>
      <c r="M8" s="7">
        <f t="shared" si="10"/>
        <v>156915</v>
      </c>
      <c r="N8" s="7">
        <f t="shared" si="11"/>
        <v>142650</v>
      </c>
      <c r="O8" s="7">
        <f t="shared" si="12"/>
        <v>14265</v>
      </c>
      <c r="P8" s="21">
        <f t="shared" si="0"/>
        <v>68392.052879450639</v>
      </c>
      <c r="Q8" s="21">
        <f t="shared" si="1"/>
        <v>15216</v>
      </c>
      <c r="R8" s="21">
        <f>F8*$E$35</f>
        <v>106591.94712054935</v>
      </c>
      <c r="S8" s="22">
        <f>(R8+P8+Q8)*0.1</f>
        <v>19020</v>
      </c>
      <c r="T8" s="21">
        <f>SUM(P8:S8)</f>
        <v>209220</v>
      </c>
    </row>
    <row r="9" spans="1:20" x14ac:dyDescent="0.25">
      <c r="A9" s="14" t="s">
        <v>9</v>
      </c>
      <c r="B9" s="14" t="s">
        <v>16</v>
      </c>
      <c r="C9" s="15">
        <v>95.98</v>
      </c>
      <c r="D9" s="31">
        <f t="shared" si="2"/>
        <v>1981.2565117732861</v>
      </c>
      <c r="E9" s="31">
        <f t="shared" si="3"/>
        <v>2179.3821629506147</v>
      </c>
      <c r="F9" s="5">
        <v>190161</v>
      </c>
      <c r="G9" s="6">
        <f t="shared" si="4"/>
        <v>19016.100000000002</v>
      </c>
      <c r="H9" s="20">
        <f t="shared" si="5"/>
        <v>209177.1</v>
      </c>
      <c r="I9" s="8">
        <f t="shared" si="6"/>
        <v>41835.420000000006</v>
      </c>
      <c r="J9" s="8">
        <f t="shared" si="7"/>
        <v>475.40250000000009</v>
      </c>
      <c r="K9" s="9">
        <f t="shared" si="8"/>
        <v>52294.275000000009</v>
      </c>
      <c r="L9" s="9">
        <f t="shared" si="9"/>
        <v>47540.250000000007</v>
      </c>
      <c r="M9" s="7">
        <f t="shared" si="10"/>
        <v>156882.82500000001</v>
      </c>
      <c r="N9" s="7">
        <f t="shared" si="11"/>
        <v>142620.75</v>
      </c>
      <c r="O9" s="7">
        <f t="shared" si="12"/>
        <v>14262.075000000001</v>
      </c>
      <c r="P9" s="21">
        <f t="shared" si="0"/>
        <v>68378.029272393338</v>
      </c>
      <c r="Q9" s="21">
        <f t="shared" si="1"/>
        <v>15212.880000000001</v>
      </c>
      <c r="R9" s="21">
        <f>F9*$E$35</f>
        <v>106570.09072760666</v>
      </c>
      <c r="S9" s="22">
        <f>(R9+P9+Q9)*0.1</f>
        <v>19016.100000000002</v>
      </c>
      <c r="T9" s="21">
        <f>SUM(P9:S9)</f>
        <v>209177.1</v>
      </c>
    </row>
    <row r="10" spans="1:20" x14ac:dyDescent="0.25">
      <c r="A10" s="73" t="s">
        <v>9</v>
      </c>
      <c r="B10" s="73" t="s">
        <v>17</v>
      </c>
      <c r="C10" s="74">
        <v>76.650000000000006</v>
      </c>
      <c r="D10" s="31">
        <f t="shared" si="2"/>
        <v>1989.1389432485321</v>
      </c>
      <c r="E10" s="31">
        <f t="shared" si="3"/>
        <v>2188.0528375733852</v>
      </c>
      <c r="F10" s="5">
        <v>152467.5</v>
      </c>
      <c r="G10" s="6">
        <f t="shared" si="4"/>
        <v>15246.75</v>
      </c>
      <c r="H10" s="20">
        <f t="shared" si="5"/>
        <v>167714.25</v>
      </c>
      <c r="I10" s="8">
        <f t="shared" si="6"/>
        <v>33542.85</v>
      </c>
      <c r="J10" s="8">
        <f t="shared" si="7"/>
        <v>381.16874999999999</v>
      </c>
      <c r="K10" s="9">
        <f t="shared" si="8"/>
        <v>41928.5625</v>
      </c>
      <c r="L10" s="9">
        <f t="shared" si="9"/>
        <v>38116.875</v>
      </c>
      <c r="M10" s="7">
        <f t="shared" si="10"/>
        <v>125785.6875</v>
      </c>
      <c r="N10" s="7">
        <f t="shared" si="11"/>
        <v>114350.625</v>
      </c>
      <c r="O10" s="7">
        <f t="shared" si="12"/>
        <v>11435.0625</v>
      </c>
      <c r="P10" s="21">
        <f t="shared" si="0"/>
        <v>54824.213051512299</v>
      </c>
      <c r="Q10" s="21">
        <f t="shared" si="1"/>
        <v>12197.4</v>
      </c>
      <c r="R10" s="21">
        <f>F10*$E$35</f>
        <v>85445.886948487692</v>
      </c>
      <c r="S10" s="22">
        <f>(R10+P10+Q10)*0.1</f>
        <v>15246.749999999998</v>
      </c>
      <c r="T10" s="21">
        <f>SUM(P10:S10)</f>
        <v>167714.25</v>
      </c>
    </row>
    <row r="11" spans="1:20" x14ac:dyDescent="0.25">
      <c r="A11" s="14" t="s">
        <v>9</v>
      </c>
      <c r="B11" s="14" t="s">
        <v>18</v>
      </c>
      <c r="C11" s="15">
        <v>100.13</v>
      </c>
      <c r="D11" s="31">
        <f t="shared" si="2"/>
        <v>1979.9610506341758</v>
      </c>
      <c r="E11" s="31">
        <f t="shared" si="3"/>
        <v>2177.9571556975934</v>
      </c>
      <c r="F11" s="5">
        <v>198253.5</v>
      </c>
      <c r="G11" s="6">
        <f t="shared" si="4"/>
        <v>19825.350000000002</v>
      </c>
      <c r="H11" s="20">
        <f t="shared" si="5"/>
        <v>218078.85</v>
      </c>
      <c r="I11" s="8">
        <f t="shared" si="6"/>
        <v>43615.770000000004</v>
      </c>
      <c r="J11" s="8">
        <f t="shared" si="7"/>
        <v>495.63375000000002</v>
      </c>
      <c r="K11" s="9">
        <f t="shared" si="8"/>
        <v>54519.712500000009</v>
      </c>
      <c r="L11" s="9">
        <f t="shared" si="9"/>
        <v>49563.375000000007</v>
      </c>
      <c r="M11" s="7">
        <f t="shared" si="10"/>
        <v>163559.13750000001</v>
      </c>
      <c r="N11" s="7">
        <f t="shared" si="11"/>
        <v>148690.125</v>
      </c>
      <c r="O11" s="7">
        <f t="shared" si="12"/>
        <v>14869.012500000001</v>
      </c>
      <c r="P11" s="21">
        <f t="shared" si="0"/>
        <v>71287.927736783211</v>
      </c>
      <c r="Q11" s="21">
        <f t="shared" si="1"/>
        <v>15860.28</v>
      </c>
      <c r="R11" s="21">
        <f>F11*$E$35</f>
        <v>111105.29226321678</v>
      </c>
      <c r="S11" s="22">
        <f>(R11+P11+Q11)*0.1</f>
        <v>19825.349999999999</v>
      </c>
      <c r="T11" s="21">
        <f>SUM(P11:S11)</f>
        <v>218078.85</v>
      </c>
    </row>
    <row r="12" spans="1:20" x14ac:dyDescent="0.25">
      <c r="A12" s="14" t="s">
        <v>10</v>
      </c>
      <c r="B12" s="14" t="s">
        <v>14</v>
      </c>
      <c r="C12" s="15">
        <v>112.02</v>
      </c>
      <c r="D12" s="31">
        <f t="shared" si="2"/>
        <v>2026.7809319764328</v>
      </c>
      <c r="E12" s="31">
        <f t="shared" si="3"/>
        <v>2229.459025174076</v>
      </c>
      <c r="F12" s="5">
        <v>227040</v>
      </c>
      <c r="G12" s="6">
        <f t="shared" si="4"/>
        <v>22704</v>
      </c>
      <c r="H12" s="20">
        <f t="shared" si="5"/>
        <v>249744</v>
      </c>
      <c r="I12" s="8">
        <f t="shared" si="6"/>
        <v>49948.800000000003</v>
      </c>
      <c r="J12" s="8">
        <f t="shared" si="7"/>
        <v>567.6</v>
      </c>
      <c r="K12" s="9">
        <f t="shared" si="8"/>
        <v>62436</v>
      </c>
      <c r="L12" s="9">
        <f t="shared" si="9"/>
        <v>56759.999999999993</v>
      </c>
      <c r="M12" s="7">
        <f t="shared" si="10"/>
        <v>187308</v>
      </c>
      <c r="N12" s="7">
        <f t="shared" si="11"/>
        <v>170280</v>
      </c>
      <c r="O12" s="7">
        <f t="shared" si="12"/>
        <v>17028</v>
      </c>
      <c r="P12" s="21">
        <f t="shared" si="0"/>
        <v>81638.967853577662</v>
      </c>
      <c r="Q12" s="21">
        <f t="shared" si="1"/>
        <v>18163.2</v>
      </c>
      <c r="R12" s="21">
        <f>F12*$E$35</f>
        <v>127237.83214642231</v>
      </c>
      <c r="S12" s="22">
        <f>(R12+P12+Q12)*0.1</f>
        <v>22704</v>
      </c>
      <c r="T12" s="21">
        <f>SUM(P12:S12)</f>
        <v>249743.99999999997</v>
      </c>
    </row>
    <row r="13" spans="1:20" x14ac:dyDescent="0.25">
      <c r="A13" s="14" t="s">
        <v>10</v>
      </c>
      <c r="B13" s="14" t="s">
        <v>15</v>
      </c>
      <c r="C13" s="15">
        <v>96</v>
      </c>
      <c r="D13" s="31">
        <f t="shared" si="2"/>
        <v>2031.25</v>
      </c>
      <c r="E13" s="31">
        <f t="shared" si="3"/>
        <v>2234.375</v>
      </c>
      <c r="F13" s="5">
        <v>195000</v>
      </c>
      <c r="G13" s="6">
        <f t="shared" si="4"/>
        <v>19500</v>
      </c>
      <c r="H13" s="20">
        <f t="shared" si="5"/>
        <v>214500</v>
      </c>
      <c r="I13" s="8">
        <f t="shared" si="6"/>
        <v>42900</v>
      </c>
      <c r="J13" s="8">
        <f t="shared" si="7"/>
        <v>487.5</v>
      </c>
      <c r="K13" s="9">
        <f t="shared" si="8"/>
        <v>53625</v>
      </c>
      <c r="L13" s="9">
        <f t="shared" si="9"/>
        <v>48749.999999999993</v>
      </c>
      <c r="M13" s="7">
        <f t="shared" si="10"/>
        <v>160875</v>
      </c>
      <c r="N13" s="7">
        <f t="shared" si="11"/>
        <v>146250</v>
      </c>
      <c r="O13" s="7">
        <f t="shared" si="12"/>
        <v>14625</v>
      </c>
      <c r="P13" s="21">
        <f t="shared" si="0"/>
        <v>70118.035286503015</v>
      </c>
      <c r="Q13" s="21">
        <f t="shared" si="1"/>
        <v>15600</v>
      </c>
      <c r="R13" s="21">
        <f>F13*$E$35</f>
        <v>109281.96471349697</v>
      </c>
      <c r="S13" s="22">
        <f>(R13+P13+Q13)*0.1</f>
        <v>19500</v>
      </c>
      <c r="T13" s="21">
        <f>SUM(P13:S13)</f>
        <v>214500</v>
      </c>
    </row>
    <row r="14" spans="1:20" x14ac:dyDescent="0.25">
      <c r="A14" s="14" t="s">
        <v>10</v>
      </c>
      <c r="B14" s="14" t="s">
        <v>16</v>
      </c>
      <c r="C14" s="15">
        <v>95.98</v>
      </c>
      <c r="D14" s="31">
        <f t="shared" si="2"/>
        <v>2031.2565117732861</v>
      </c>
      <c r="E14" s="31">
        <f t="shared" si="3"/>
        <v>2234.3821629506147</v>
      </c>
      <c r="F14" s="5">
        <v>194960</v>
      </c>
      <c r="G14" s="6">
        <f t="shared" si="4"/>
        <v>19496</v>
      </c>
      <c r="H14" s="20">
        <f t="shared" si="5"/>
        <v>214456</v>
      </c>
      <c r="I14" s="8">
        <f t="shared" si="6"/>
        <v>42891.200000000004</v>
      </c>
      <c r="J14" s="8">
        <f t="shared" si="7"/>
        <v>487.40000000000003</v>
      </c>
      <c r="K14" s="9">
        <f t="shared" si="8"/>
        <v>53614.000000000007</v>
      </c>
      <c r="L14" s="9">
        <f t="shared" si="9"/>
        <v>48740</v>
      </c>
      <c r="M14" s="7">
        <f t="shared" si="10"/>
        <v>160842</v>
      </c>
      <c r="N14" s="7">
        <f t="shared" si="11"/>
        <v>146220</v>
      </c>
      <c r="O14" s="7">
        <f t="shared" si="12"/>
        <v>14622</v>
      </c>
      <c r="P14" s="21">
        <f t="shared" si="0"/>
        <v>70103.652099777581</v>
      </c>
      <c r="Q14" s="21">
        <f t="shared" si="1"/>
        <v>15596.800000000001</v>
      </c>
      <c r="R14" s="21">
        <f>F14*$E$35</f>
        <v>109259.5479002224</v>
      </c>
      <c r="S14" s="22">
        <f>(R14+P14+Q14)*0.1</f>
        <v>19495.999999999996</v>
      </c>
      <c r="T14" s="21">
        <f>SUM(P14:S14)</f>
        <v>214456</v>
      </c>
    </row>
    <row r="15" spans="1:20" x14ac:dyDescent="0.25">
      <c r="A15" s="73" t="s">
        <v>10</v>
      </c>
      <c r="B15" s="73" t="s">
        <v>17</v>
      </c>
      <c r="C15" s="74">
        <v>76.650000000000006</v>
      </c>
      <c r="D15" s="31">
        <f t="shared" si="2"/>
        <v>2039.1389432485321</v>
      </c>
      <c r="E15" s="31">
        <f t="shared" si="3"/>
        <v>2243.0528375733852</v>
      </c>
      <c r="F15" s="5">
        <v>156300</v>
      </c>
      <c r="G15" s="6">
        <f t="shared" si="4"/>
        <v>15630</v>
      </c>
      <c r="H15" s="20">
        <f t="shared" si="5"/>
        <v>171930</v>
      </c>
      <c r="I15" s="8">
        <f t="shared" si="6"/>
        <v>34386</v>
      </c>
      <c r="J15" s="8">
        <f t="shared" si="7"/>
        <v>390.75</v>
      </c>
      <c r="K15" s="9">
        <f t="shared" si="8"/>
        <v>42982.5</v>
      </c>
      <c r="L15" s="9">
        <f t="shared" si="9"/>
        <v>39075</v>
      </c>
      <c r="M15" s="7">
        <f t="shared" si="10"/>
        <v>128947.5</v>
      </c>
      <c r="N15" s="7">
        <f t="shared" si="11"/>
        <v>117225</v>
      </c>
      <c r="O15" s="7">
        <f t="shared" si="12"/>
        <v>11722.5</v>
      </c>
      <c r="P15" s="21">
        <f t="shared" si="0"/>
        <v>56202.302129643191</v>
      </c>
      <c r="Q15" s="21">
        <f t="shared" si="1"/>
        <v>12504</v>
      </c>
      <c r="R15" s="21">
        <f>F15*$E$35</f>
        <v>87593.697870356802</v>
      </c>
      <c r="S15" s="22">
        <f>(R15+P15+Q15)*0.1</f>
        <v>15630</v>
      </c>
      <c r="T15" s="21">
        <f>SUM(P15:S15)</f>
        <v>171930</v>
      </c>
    </row>
    <row r="16" spans="1:20" x14ac:dyDescent="0.25">
      <c r="A16" s="73" t="s">
        <v>10</v>
      </c>
      <c r="B16" s="73" t="s">
        <v>18</v>
      </c>
      <c r="C16" s="74">
        <v>100.13</v>
      </c>
      <c r="D16" s="31">
        <f t="shared" si="2"/>
        <v>2029.9610506341758</v>
      </c>
      <c r="E16" s="31">
        <f t="shared" si="3"/>
        <v>2232.9571556975934</v>
      </c>
      <c r="F16" s="5">
        <v>203260</v>
      </c>
      <c r="G16" s="6">
        <f t="shared" si="4"/>
        <v>20326</v>
      </c>
      <c r="H16" s="20">
        <f t="shared" si="5"/>
        <v>223586</v>
      </c>
      <c r="I16" s="8">
        <f t="shared" si="6"/>
        <v>44717.200000000004</v>
      </c>
      <c r="J16" s="8">
        <f t="shared" si="7"/>
        <v>508.15000000000003</v>
      </c>
      <c r="K16" s="9">
        <f t="shared" si="8"/>
        <v>55896.500000000007</v>
      </c>
      <c r="L16" s="9">
        <f t="shared" si="9"/>
        <v>50815</v>
      </c>
      <c r="M16" s="7">
        <f t="shared" si="10"/>
        <v>167689.5</v>
      </c>
      <c r="N16" s="7">
        <f t="shared" si="11"/>
        <v>152445</v>
      </c>
      <c r="O16" s="7">
        <f t="shared" si="12"/>
        <v>15244.5</v>
      </c>
      <c r="P16" s="21">
        <f t="shared" si="0"/>
        <v>73088.163345305657</v>
      </c>
      <c r="Q16" s="21">
        <f t="shared" si="1"/>
        <v>16260.800000000001</v>
      </c>
      <c r="R16" s="21">
        <f>F16*$E$35</f>
        <v>113911.03665469433</v>
      </c>
      <c r="S16" s="22">
        <f>(R16+P16+Q16)*0.1</f>
        <v>20326</v>
      </c>
      <c r="T16" s="21">
        <f>SUM(P16:S16)</f>
        <v>223586</v>
      </c>
    </row>
    <row r="17" spans="1:20" x14ac:dyDescent="0.25">
      <c r="A17" s="14" t="s">
        <v>11</v>
      </c>
      <c r="B17" s="14" t="s">
        <v>14</v>
      </c>
      <c r="C17" s="15">
        <v>112.02</v>
      </c>
      <c r="D17" s="31">
        <f t="shared" si="2"/>
        <v>2076.7809319764328</v>
      </c>
      <c r="E17" s="31">
        <f t="shared" si="3"/>
        <v>2284.459025174076</v>
      </c>
      <c r="F17" s="5">
        <v>232641</v>
      </c>
      <c r="G17" s="6">
        <f t="shared" si="4"/>
        <v>23264.100000000002</v>
      </c>
      <c r="H17" s="20">
        <f t="shared" si="5"/>
        <v>255905.1</v>
      </c>
      <c r="I17" s="8">
        <f t="shared" si="6"/>
        <v>51181.020000000004</v>
      </c>
      <c r="J17" s="8">
        <f t="shared" si="7"/>
        <v>581.60250000000008</v>
      </c>
      <c r="K17" s="9">
        <f t="shared" si="8"/>
        <v>63976.275000000009</v>
      </c>
      <c r="L17" s="9">
        <f t="shared" si="9"/>
        <v>58160.25</v>
      </c>
      <c r="M17" s="7">
        <f t="shared" si="10"/>
        <v>191928.82500000001</v>
      </c>
      <c r="N17" s="7">
        <f t="shared" si="11"/>
        <v>174480.75</v>
      </c>
      <c r="O17" s="7">
        <f t="shared" si="12"/>
        <v>17448.075000000001</v>
      </c>
      <c r="P17" s="21">
        <f t="shared" si="0"/>
        <v>83652.973574806922</v>
      </c>
      <c r="Q17" s="21">
        <f t="shared" si="1"/>
        <v>18611.28</v>
      </c>
      <c r="R17" s="21">
        <f>F17*$E$35</f>
        <v>130376.74642519307</v>
      </c>
      <c r="S17" s="22">
        <f>(R17+P17+Q17)*0.1</f>
        <v>23264.1</v>
      </c>
      <c r="T17" s="21">
        <f>SUM(P17:S17)</f>
        <v>255905.1</v>
      </c>
    </row>
    <row r="18" spans="1:20" x14ac:dyDescent="0.25">
      <c r="A18" s="14" t="s">
        <v>11</v>
      </c>
      <c r="B18" s="14" t="s">
        <v>15</v>
      </c>
      <c r="C18" s="15">
        <v>96</v>
      </c>
      <c r="D18" s="31">
        <f t="shared" si="2"/>
        <v>2081.25</v>
      </c>
      <c r="E18" s="31">
        <f t="shared" si="3"/>
        <v>2289.375</v>
      </c>
      <c r="F18" s="5">
        <v>199800</v>
      </c>
      <c r="G18" s="6">
        <f t="shared" si="4"/>
        <v>19980</v>
      </c>
      <c r="H18" s="20">
        <f t="shared" si="5"/>
        <v>219780</v>
      </c>
      <c r="I18" s="8">
        <f t="shared" si="6"/>
        <v>43956</v>
      </c>
      <c r="J18" s="8">
        <f t="shared" si="7"/>
        <v>499.5</v>
      </c>
      <c r="K18" s="9">
        <f t="shared" si="8"/>
        <v>54945</v>
      </c>
      <c r="L18" s="9">
        <f t="shared" si="9"/>
        <v>49949.999999999993</v>
      </c>
      <c r="M18" s="7">
        <f t="shared" si="10"/>
        <v>164835</v>
      </c>
      <c r="N18" s="7">
        <f t="shared" si="11"/>
        <v>149850</v>
      </c>
      <c r="O18" s="7">
        <f t="shared" si="12"/>
        <v>14985</v>
      </c>
      <c r="P18" s="21">
        <f t="shared" si="0"/>
        <v>71844.017693555405</v>
      </c>
      <c r="Q18" s="21">
        <f t="shared" si="1"/>
        <v>15984</v>
      </c>
      <c r="R18" s="21">
        <f>F18*$E$35</f>
        <v>111971.98230644458</v>
      </c>
      <c r="S18" s="22">
        <f>(R18+P18+Q18)*0.1</f>
        <v>19980</v>
      </c>
      <c r="T18" s="21">
        <f>SUM(P18:S18)</f>
        <v>219780</v>
      </c>
    </row>
    <row r="19" spans="1:20" x14ac:dyDescent="0.25">
      <c r="A19" s="14" t="s">
        <v>11</v>
      </c>
      <c r="B19" s="14" t="s">
        <v>16</v>
      </c>
      <c r="C19" s="15">
        <v>95.98</v>
      </c>
      <c r="D19" s="31">
        <f t="shared" si="2"/>
        <v>2081.2565117732861</v>
      </c>
      <c r="E19" s="31">
        <f t="shared" si="3"/>
        <v>2289.3821629506147</v>
      </c>
      <c r="F19" s="5">
        <v>199759</v>
      </c>
      <c r="G19" s="6">
        <f t="shared" si="4"/>
        <v>19975.900000000001</v>
      </c>
      <c r="H19" s="20">
        <f t="shared" si="5"/>
        <v>219734.9</v>
      </c>
      <c r="I19" s="8">
        <f t="shared" si="6"/>
        <v>43946.98</v>
      </c>
      <c r="J19" s="8">
        <f t="shared" si="7"/>
        <v>499.39750000000004</v>
      </c>
      <c r="K19" s="9">
        <f t="shared" si="8"/>
        <v>54933.725000000006</v>
      </c>
      <c r="L19" s="9">
        <f t="shared" si="9"/>
        <v>49939.75</v>
      </c>
      <c r="M19" s="7">
        <f t="shared" si="10"/>
        <v>164801.17499999999</v>
      </c>
      <c r="N19" s="7">
        <f t="shared" si="11"/>
        <v>149819.25</v>
      </c>
      <c r="O19" s="7">
        <f t="shared" si="12"/>
        <v>14981.925000000001</v>
      </c>
      <c r="P19" s="21">
        <f t="shared" si="0"/>
        <v>71829.274927161823</v>
      </c>
      <c r="Q19" s="21">
        <f t="shared" si="1"/>
        <v>15980.720000000001</v>
      </c>
      <c r="R19" s="21">
        <f>F19*$E$35</f>
        <v>111949.00507283816</v>
      </c>
      <c r="S19" s="22">
        <f>(R19+P19+Q19)*0.1</f>
        <v>19975.899999999998</v>
      </c>
      <c r="T19" s="21">
        <f>SUM(P19:S19)</f>
        <v>219734.9</v>
      </c>
    </row>
    <row r="20" spans="1:20" x14ac:dyDescent="0.25">
      <c r="A20" s="73" t="s">
        <v>11</v>
      </c>
      <c r="B20" s="73" t="s">
        <v>17</v>
      </c>
      <c r="C20" s="74">
        <v>76.650000000000006</v>
      </c>
      <c r="D20" s="31">
        <f t="shared" si="2"/>
        <v>2089.1389432485321</v>
      </c>
      <c r="E20" s="31">
        <f t="shared" si="3"/>
        <v>2298.0528375733852</v>
      </c>
      <c r="F20" s="5">
        <v>160132.5</v>
      </c>
      <c r="G20" s="6">
        <f t="shared" si="4"/>
        <v>16013.25</v>
      </c>
      <c r="H20" s="20">
        <f t="shared" si="5"/>
        <v>176145.75</v>
      </c>
      <c r="I20" s="8">
        <f t="shared" si="6"/>
        <v>35229.15</v>
      </c>
      <c r="J20" s="8">
        <f t="shared" si="7"/>
        <v>400.33125000000001</v>
      </c>
      <c r="K20" s="9">
        <f t="shared" si="8"/>
        <v>44036.4375</v>
      </c>
      <c r="L20" s="9">
        <f t="shared" si="9"/>
        <v>40033.125</v>
      </c>
      <c r="M20" s="7">
        <f t="shared" si="10"/>
        <v>132109.3125</v>
      </c>
      <c r="N20" s="7">
        <f t="shared" si="11"/>
        <v>120099.375</v>
      </c>
      <c r="O20" s="7">
        <f t="shared" si="12"/>
        <v>12009.9375</v>
      </c>
      <c r="P20" s="21">
        <f t="shared" si="0"/>
        <v>57580.391207774075</v>
      </c>
      <c r="Q20" s="21">
        <f t="shared" si="1"/>
        <v>12810.6</v>
      </c>
      <c r="R20" s="21">
        <f>F20*$E$35</f>
        <v>89741.508792225912</v>
      </c>
      <c r="S20" s="22">
        <f>(R20+P20+Q20)*0.1</f>
        <v>16013.25</v>
      </c>
      <c r="T20" s="21">
        <f>SUM(P20:S20)</f>
        <v>176145.75</v>
      </c>
    </row>
    <row r="21" spans="1:20" x14ac:dyDescent="0.25">
      <c r="A21" s="73" t="s">
        <v>11</v>
      </c>
      <c r="B21" s="73" t="s">
        <v>18</v>
      </c>
      <c r="C21" s="74">
        <v>100.13</v>
      </c>
      <c r="D21" s="31">
        <f t="shared" si="2"/>
        <v>2079.9610506341755</v>
      </c>
      <c r="E21" s="31">
        <f t="shared" si="3"/>
        <v>2287.957155697593</v>
      </c>
      <c r="F21" s="5">
        <v>208266.5</v>
      </c>
      <c r="G21" s="6">
        <f t="shared" si="4"/>
        <v>20826.650000000001</v>
      </c>
      <c r="H21" s="20">
        <f t="shared" si="5"/>
        <v>229093.15</v>
      </c>
      <c r="I21" s="8">
        <f t="shared" si="6"/>
        <v>45818.630000000005</v>
      </c>
      <c r="J21" s="8">
        <f t="shared" si="7"/>
        <v>520.6662500000001</v>
      </c>
      <c r="K21" s="9">
        <f t="shared" si="8"/>
        <v>57273.287500000006</v>
      </c>
      <c r="L21" s="9">
        <f t="shared" si="9"/>
        <v>52066.625</v>
      </c>
      <c r="M21" s="7">
        <f t="shared" si="10"/>
        <v>171819.86249999999</v>
      </c>
      <c r="N21" s="7">
        <f t="shared" si="11"/>
        <v>156199.875</v>
      </c>
      <c r="O21" s="7">
        <f t="shared" si="12"/>
        <v>15619.987500000001</v>
      </c>
      <c r="P21" s="21">
        <f t="shared" si="0"/>
        <v>74888.398953828102</v>
      </c>
      <c r="Q21" s="21">
        <f t="shared" si="1"/>
        <v>16661.32</v>
      </c>
      <c r="R21" s="21">
        <f>F21*$E$35</f>
        <v>116716.78104617188</v>
      </c>
      <c r="S21" s="22">
        <f>(R21+P21+Q21)*0.1</f>
        <v>20826.650000000001</v>
      </c>
      <c r="T21" s="21">
        <f>SUM(P21:S21)</f>
        <v>229093.14999999997</v>
      </c>
    </row>
    <row r="22" spans="1:20" x14ac:dyDescent="0.25">
      <c r="A22" s="14" t="s">
        <v>12</v>
      </c>
      <c r="B22" s="14" t="s">
        <v>14</v>
      </c>
      <c r="C22" s="15">
        <v>112.02</v>
      </c>
      <c r="D22" s="31">
        <f t="shared" si="2"/>
        <v>2126.7809319764328</v>
      </c>
      <c r="E22" s="31">
        <f t="shared" si="3"/>
        <v>2339.459025174076</v>
      </c>
      <c r="F22" s="5">
        <v>238242</v>
      </c>
      <c r="G22" s="6">
        <f t="shared" si="4"/>
        <v>23824.2</v>
      </c>
      <c r="H22" s="20">
        <f t="shared" si="5"/>
        <v>262066.2</v>
      </c>
      <c r="I22" s="8">
        <f t="shared" si="6"/>
        <v>52413.240000000005</v>
      </c>
      <c r="J22" s="8">
        <f t="shared" si="7"/>
        <v>595.60500000000002</v>
      </c>
      <c r="K22" s="9">
        <f t="shared" si="8"/>
        <v>65516.55</v>
      </c>
      <c r="L22" s="9">
        <f t="shared" si="9"/>
        <v>59560.5</v>
      </c>
      <c r="M22" s="7">
        <f t="shared" si="10"/>
        <v>196549.65000000002</v>
      </c>
      <c r="N22" s="7">
        <f t="shared" si="11"/>
        <v>178681.5</v>
      </c>
      <c r="O22" s="7">
        <f t="shared" si="12"/>
        <v>17868.150000000001</v>
      </c>
      <c r="P22" s="21">
        <f t="shared" si="0"/>
        <v>85666.979296036166</v>
      </c>
      <c r="Q22" s="21">
        <f t="shared" si="1"/>
        <v>19059.36</v>
      </c>
      <c r="R22" s="21">
        <f>F22*$E$35</f>
        <v>133515.66070396383</v>
      </c>
      <c r="S22" s="22">
        <f>(R22+P22+Q22)*0.1</f>
        <v>23824.2</v>
      </c>
      <c r="T22" s="21">
        <f>SUM(P22:S22)</f>
        <v>262066.2</v>
      </c>
    </row>
    <row r="23" spans="1:20" x14ac:dyDescent="0.25">
      <c r="A23" s="14" t="s">
        <v>12</v>
      </c>
      <c r="B23" s="14" t="s">
        <v>15</v>
      </c>
      <c r="C23" s="15">
        <v>96</v>
      </c>
      <c r="D23" s="31">
        <f t="shared" si="2"/>
        <v>2131.25</v>
      </c>
      <c r="E23" s="31">
        <f t="shared" si="3"/>
        <v>2344.375</v>
      </c>
      <c r="F23" s="5">
        <v>204600</v>
      </c>
      <c r="G23" s="6">
        <f t="shared" si="4"/>
        <v>20460</v>
      </c>
      <c r="H23" s="20">
        <f t="shared" si="5"/>
        <v>225060</v>
      </c>
      <c r="I23" s="8">
        <f t="shared" si="6"/>
        <v>45012</v>
      </c>
      <c r="J23" s="8">
        <f t="shared" si="7"/>
        <v>511.5</v>
      </c>
      <c r="K23" s="9">
        <f t="shared" si="8"/>
        <v>56265</v>
      </c>
      <c r="L23" s="9">
        <f t="shared" si="9"/>
        <v>51149.999999999993</v>
      </c>
      <c r="M23" s="7">
        <f t="shared" si="10"/>
        <v>168795</v>
      </c>
      <c r="N23" s="7">
        <f t="shared" si="11"/>
        <v>153450</v>
      </c>
      <c r="O23" s="7">
        <f t="shared" si="12"/>
        <v>15345</v>
      </c>
      <c r="P23" s="21">
        <f t="shared" si="0"/>
        <v>73570.00010060778</v>
      </c>
      <c r="Q23" s="21">
        <f t="shared" si="1"/>
        <v>16368</v>
      </c>
      <c r="R23" s="21">
        <f>F23*$E$35</f>
        <v>114661.99989939221</v>
      </c>
      <c r="S23" s="22">
        <f>(R23+P23+Q23)*0.1</f>
        <v>20460</v>
      </c>
      <c r="T23" s="21">
        <f>SUM(P23:S23)</f>
        <v>225060</v>
      </c>
    </row>
    <row r="24" spans="1:20" x14ac:dyDescent="0.25">
      <c r="A24" s="14" t="s">
        <v>12</v>
      </c>
      <c r="B24" s="14" t="s">
        <v>16</v>
      </c>
      <c r="C24" s="15">
        <v>95.98</v>
      </c>
      <c r="D24" s="31">
        <f t="shared" si="2"/>
        <v>2131.2565117732861</v>
      </c>
      <c r="E24" s="31">
        <f t="shared" si="3"/>
        <v>2344.3821629506147</v>
      </c>
      <c r="F24" s="5">
        <v>204558</v>
      </c>
      <c r="G24" s="6">
        <f t="shared" si="4"/>
        <v>20455.800000000003</v>
      </c>
      <c r="H24" s="20">
        <f t="shared" si="5"/>
        <v>225013.8</v>
      </c>
      <c r="I24" s="8">
        <f t="shared" si="6"/>
        <v>45002.76</v>
      </c>
      <c r="J24" s="8">
        <f t="shared" si="7"/>
        <v>511.39500000000004</v>
      </c>
      <c r="K24" s="9">
        <f t="shared" si="8"/>
        <v>56253.450000000004</v>
      </c>
      <c r="L24" s="9">
        <f t="shared" si="9"/>
        <v>51139.5</v>
      </c>
      <c r="M24" s="7">
        <f t="shared" si="10"/>
        <v>168760.34999999998</v>
      </c>
      <c r="N24" s="7">
        <f t="shared" si="11"/>
        <v>153418.5</v>
      </c>
      <c r="O24" s="7">
        <f t="shared" si="12"/>
        <v>15341.85</v>
      </c>
      <c r="P24" s="21">
        <f t="shared" si="0"/>
        <v>73554.89775454608</v>
      </c>
      <c r="Q24" s="21">
        <f t="shared" si="1"/>
        <v>16364.640000000001</v>
      </c>
      <c r="R24" s="21">
        <f>F24*$E$35</f>
        <v>114638.46224545391</v>
      </c>
      <c r="S24" s="22">
        <f>(R24+P24+Q24)*0.1</f>
        <v>20455.800000000003</v>
      </c>
      <c r="T24" s="21">
        <f>SUM(P24:S24)</f>
        <v>225013.8</v>
      </c>
    </row>
    <row r="25" spans="1:20" x14ac:dyDescent="0.25">
      <c r="A25" s="73" t="s">
        <v>12</v>
      </c>
      <c r="B25" s="73" t="s">
        <v>17</v>
      </c>
      <c r="C25" s="74">
        <v>76.650000000000006</v>
      </c>
      <c r="D25" s="31">
        <f t="shared" si="2"/>
        <v>2139.1389432485321</v>
      </c>
      <c r="E25" s="31">
        <f t="shared" si="3"/>
        <v>2353.0528375733852</v>
      </c>
      <c r="F25" s="5">
        <v>163965</v>
      </c>
      <c r="G25" s="6">
        <f t="shared" si="4"/>
        <v>16396.5</v>
      </c>
      <c r="H25" s="20">
        <f t="shared" si="5"/>
        <v>180361.5</v>
      </c>
      <c r="I25" s="8">
        <f t="shared" si="6"/>
        <v>36072.300000000003</v>
      </c>
      <c r="J25" s="8">
        <f t="shared" si="7"/>
        <v>409.91250000000002</v>
      </c>
      <c r="K25" s="9">
        <f t="shared" si="8"/>
        <v>45090.375</v>
      </c>
      <c r="L25" s="9">
        <f t="shared" si="9"/>
        <v>40991.25</v>
      </c>
      <c r="M25" s="7">
        <f t="shared" si="10"/>
        <v>135271.125</v>
      </c>
      <c r="N25" s="7">
        <f t="shared" si="11"/>
        <v>122973.75</v>
      </c>
      <c r="O25" s="7">
        <f t="shared" si="12"/>
        <v>12297.375</v>
      </c>
      <c r="P25" s="21">
        <f t="shared" si="0"/>
        <v>58958.48028590496</v>
      </c>
      <c r="Q25" s="21">
        <f t="shared" si="1"/>
        <v>13117.2</v>
      </c>
      <c r="R25" s="21">
        <f>F25*$E$35</f>
        <v>91889.319714095021</v>
      </c>
      <c r="S25" s="22">
        <f>(R25+P25+Q25)*0.1</f>
        <v>16396.5</v>
      </c>
      <c r="T25" s="21">
        <f>SUM(P25:S25)</f>
        <v>180361.5</v>
      </c>
    </row>
    <row r="26" spans="1:20" x14ac:dyDescent="0.25">
      <c r="A26" s="14" t="s">
        <v>12</v>
      </c>
      <c r="B26" s="14" t="s">
        <v>18</v>
      </c>
      <c r="C26" s="15">
        <v>100.13</v>
      </c>
      <c r="D26" s="31">
        <f t="shared" si="2"/>
        <v>2129.9610506341755</v>
      </c>
      <c r="E26" s="31">
        <f t="shared" si="3"/>
        <v>2342.957155697593</v>
      </c>
      <c r="F26" s="5">
        <v>213273</v>
      </c>
      <c r="G26" s="6">
        <f t="shared" si="4"/>
        <v>21327.300000000003</v>
      </c>
      <c r="H26" s="20">
        <f t="shared" si="5"/>
        <v>234600.3</v>
      </c>
      <c r="I26" s="8">
        <f t="shared" si="6"/>
        <v>46920.06</v>
      </c>
      <c r="J26" s="8">
        <f t="shared" si="7"/>
        <v>533.1825</v>
      </c>
      <c r="K26" s="9">
        <f t="shared" si="8"/>
        <v>58650.074999999997</v>
      </c>
      <c r="L26" s="9">
        <f t="shared" si="9"/>
        <v>53318.249999999993</v>
      </c>
      <c r="M26" s="7">
        <f t="shared" si="10"/>
        <v>175950.22499999998</v>
      </c>
      <c r="N26" s="7">
        <f t="shared" si="11"/>
        <v>159954.75</v>
      </c>
      <c r="O26" s="7">
        <f t="shared" si="12"/>
        <v>15995.475</v>
      </c>
      <c r="P26" s="21">
        <f t="shared" si="0"/>
        <v>76688.634562350548</v>
      </c>
      <c r="Q26" s="21">
        <f t="shared" si="1"/>
        <v>17061.84</v>
      </c>
      <c r="R26" s="21">
        <f>F26*$E$35</f>
        <v>119522.52543764943</v>
      </c>
      <c r="S26" s="22">
        <f>(R26+P26+Q26)*0.1</f>
        <v>21327.3</v>
      </c>
      <c r="T26" s="21">
        <f>SUM(P26:S26)</f>
        <v>234600.29999999996</v>
      </c>
    </row>
    <row r="27" spans="1:20" x14ac:dyDescent="0.25">
      <c r="A27" s="73" t="s">
        <v>13</v>
      </c>
      <c r="B27" s="73" t="s">
        <v>14</v>
      </c>
      <c r="C27" s="74">
        <v>106.31</v>
      </c>
      <c r="D27" s="31">
        <f t="shared" si="2"/>
        <v>2323.9535321230364</v>
      </c>
      <c r="E27" s="31">
        <f t="shared" si="3"/>
        <v>2556.3488853353401</v>
      </c>
      <c r="F27" s="5">
        <v>247059.5</v>
      </c>
      <c r="G27" s="6">
        <f t="shared" si="4"/>
        <v>24705.95</v>
      </c>
      <c r="H27" s="20">
        <f t="shared" si="5"/>
        <v>271765.45</v>
      </c>
      <c r="I27" s="8">
        <f t="shared" si="6"/>
        <v>54353.090000000004</v>
      </c>
      <c r="J27" s="8">
        <f t="shared" si="7"/>
        <v>617.64875000000006</v>
      </c>
      <c r="K27" s="9">
        <f t="shared" si="8"/>
        <v>67941.362500000003</v>
      </c>
      <c r="L27" s="9">
        <f t="shared" si="9"/>
        <v>61764.875</v>
      </c>
      <c r="M27" s="7">
        <f t="shared" si="10"/>
        <v>203824.08750000002</v>
      </c>
      <c r="N27" s="7">
        <f t="shared" si="11"/>
        <v>185294.625</v>
      </c>
      <c r="O27" s="7">
        <f t="shared" si="12"/>
        <v>18529.462500000001</v>
      </c>
      <c r="P27" s="21">
        <f t="shared" si="0"/>
        <v>88837.573019824573</v>
      </c>
      <c r="Q27" s="21">
        <f t="shared" si="1"/>
        <v>19764.760000000002</v>
      </c>
      <c r="R27" s="21">
        <f>F27*$E$35</f>
        <v>138457.16698017542</v>
      </c>
      <c r="S27" s="22">
        <f>(R27+P27+Q27)*0.1</f>
        <v>24705.95</v>
      </c>
      <c r="T27" s="21">
        <f>SUM(P27:S27)</f>
        <v>271765.45</v>
      </c>
    </row>
    <row r="28" spans="1:20" x14ac:dyDescent="0.25">
      <c r="A28" s="73" t="s">
        <v>13</v>
      </c>
      <c r="B28" s="73" t="s">
        <v>15</v>
      </c>
      <c r="C28" s="74">
        <v>84.88</v>
      </c>
      <c r="D28" s="31">
        <f t="shared" si="2"/>
        <v>2479.2177191328938</v>
      </c>
      <c r="E28" s="31">
        <f t="shared" si="3"/>
        <v>2727.1394910461831</v>
      </c>
      <c r="F28" s="5">
        <v>210436</v>
      </c>
      <c r="G28" s="6">
        <f t="shared" si="4"/>
        <v>21043.600000000002</v>
      </c>
      <c r="H28" s="20">
        <f t="shared" si="5"/>
        <v>231479.6</v>
      </c>
      <c r="I28" s="8">
        <f t="shared" si="6"/>
        <v>46295.920000000006</v>
      </c>
      <c r="J28" s="8">
        <f t="shared" si="7"/>
        <v>526.09</v>
      </c>
      <c r="K28" s="9">
        <f t="shared" si="8"/>
        <v>57869.900000000009</v>
      </c>
      <c r="L28" s="9">
        <f t="shared" si="9"/>
        <v>52609.000000000007</v>
      </c>
      <c r="M28" s="7">
        <f t="shared" si="10"/>
        <v>173609.7</v>
      </c>
      <c r="N28" s="7">
        <f t="shared" si="11"/>
        <v>157827</v>
      </c>
      <c r="O28" s="7">
        <f t="shared" si="12"/>
        <v>15782.7</v>
      </c>
      <c r="P28" s="21">
        <f t="shared" si="0"/>
        <v>75668.507043848964</v>
      </c>
      <c r="Q28" s="21">
        <f t="shared" si="1"/>
        <v>16834.88</v>
      </c>
      <c r="R28" s="21">
        <f>F28*$E$35</f>
        <v>117932.61295615102</v>
      </c>
      <c r="S28" s="22">
        <f>(R28+P28+Q28)*0.1</f>
        <v>21043.600000000002</v>
      </c>
      <c r="T28" s="21">
        <f>SUM(P28:S28)</f>
        <v>231479.6</v>
      </c>
    </row>
    <row r="29" spans="1:20" x14ac:dyDescent="0.25">
      <c r="A29" s="73" t="s">
        <v>13</v>
      </c>
      <c r="B29" s="73" t="s">
        <v>16</v>
      </c>
      <c r="C29" s="74">
        <v>105.95</v>
      </c>
      <c r="D29" s="31">
        <f t="shared" si="2"/>
        <v>2362.4492685228879</v>
      </c>
      <c r="E29" s="31">
        <f t="shared" si="3"/>
        <v>2598.6941953751771</v>
      </c>
      <c r="F29" s="5">
        <v>250301.5</v>
      </c>
      <c r="G29" s="6">
        <f t="shared" si="4"/>
        <v>25030.15</v>
      </c>
      <c r="H29" s="20">
        <f t="shared" si="5"/>
        <v>275331.65000000002</v>
      </c>
      <c r="I29" s="8">
        <f t="shared" si="6"/>
        <v>55066.330000000009</v>
      </c>
      <c r="J29" s="8">
        <f t="shared" si="7"/>
        <v>625.75375000000008</v>
      </c>
      <c r="K29" s="9">
        <f t="shared" si="8"/>
        <v>68832.912500000006</v>
      </c>
      <c r="L29" s="9">
        <f t="shared" si="9"/>
        <v>62575.375</v>
      </c>
      <c r="M29" s="7">
        <f t="shared" si="10"/>
        <v>206498.73750000002</v>
      </c>
      <c r="N29" s="7">
        <f t="shared" si="11"/>
        <v>187726.125</v>
      </c>
      <c r="O29" s="7">
        <f t="shared" si="12"/>
        <v>18772.612499999999</v>
      </c>
      <c r="P29" s="21">
        <f t="shared" si="0"/>
        <v>90003.330303921204</v>
      </c>
      <c r="Q29" s="21">
        <f t="shared" si="1"/>
        <v>20024.12</v>
      </c>
      <c r="R29" s="21">
        <f>F29*$E$35</f>
        <v>140274.04969607879</v>
      </c>
      <c r="S29" s="22">
        <f>(R29+P29+Q29)*0.1</f>
        <v>25030.15</v>
      </c>
      <c r="T29" s="21">
        <f>SUM(P29:S29)</f>
        <v>275331.65000000002</v>
      </c>
    </row>
    <row r="30" spans="1:20" s="12" customFormat="1" ht="15.75" x14ac:dyDescent="0.25">
      <c r="A30" s="10" t="s">
        <v>2</v>
      </c>
      <c r="B30" s="10">
        <f>COUNTA(B3:B29)</f>
        <v>27</v>
      </c>
      <c r="C30" s="13">
        <f>SUM(C3:C29)</f>
        <v>2594.3000000000002</v>
      </c>
      <c r="D30" s="13"/>
      <c r="E30" s="13"/>
      <c r="F30" s="11">
        <f>SUM(F3:F29)</f>
        <v>5367378</v>
      </c>
      <c r="G30" s="11">
        <f t="shared" ref="G30:H30" si="13">SUM(G3:G29)</f>
        <v>536737.80000000005</v>
      </c>
      <c r="H30" s="11">
        <f t="shared" si="13"/>
        <v>5904115.7999999998</v>
      </c>
      <c r="I30" s="11">
        <f t="shared" ref="I30" si="14">SUM(I3:I29)</f>
        <v>1180823.1600000001</v>
      </c>
      <c r="J30" s="11">
        <f t="shared" ref="J30" si="15">SUM(J3:J29)</f>
        <v>13418.445000000002</v>
      </c>
      <c r="K30" s="11">
        <f t="shared" ref="K30:L30" si="16">SUM(K3:K29)</f>
        <v>1476028.95</v>
      </c>
      <c r="L30" s="11">
        <f t="shared" si="16"/>
        <v>1341844.5</v>
      </c>
      <c r="M30" s="11">
        <f t="shared" ref="M30" si="17">SUM(M3:M29)</f>
        <v>4428086.8499999996</v>
      </c>
      <c r="N30" s="11">
        <f t="shared" ref="N30" si="18">SUM(N3:N29)</f>
        <v>4025533.5</v>
      </c>
      <c r="O30" s="11">
        <f t="shared" ref="O30" si="19">SUM(O3:O29)</f>
        <v>402553.35</v>
      </c>
      <c r="P30" s="11">
        <f t="shared" ref="P30" si="20">SUM(P3:P29)</f>
        <v>1930000</v>
      </c>
      <c r="Q30" s="11">
        <f t="shared" ref="Q30:T30" si="21">SUM(Q3:Q29)</f>
        <v>429390.24000000005</v>
      </c>
      <c r="R30" s="11">
        <f>SUM(R3:R29)</f>
        <v>3007987.7599999993</v>
      </c>
      <c r="S30" s="11">
        <f t="shared" si="21"/>
        <v>536737.80000000005</v>
      </c>
      <c r="T30" s="11">
        <f t="shared" si="21"/>
        <v>5904115.7999999998</v>
      </c>
    </row>
    <row r="31" spans="1:20" s="12" customFormat="1" ht="15.75" x14ac:dyDescent="0.25">
      <c r="A31" s="75" t="s">
        <v>65</v>
      </c>
      <c r="B31" s="10"/>
      <c r="C31" s="13"/>
      <c r="D31" s="13"/>
      <c r="E31" s="1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25">
      <c r="G32" s="1"/>
      <c r="H32" s="1"/>
      <c r="I32" s="1"/>
      <c r="J32" s="1"/>
      <c r="M32" s="1"/>
      <c r="N32" s="1"/>
      <c r="O32" s="1"/>
      <c r="Q32" s="17"/>
    </row>
    <row r="33" spans="1:12" x14ac:dyDescent="0.25">
      <c r="A33" s="71">
        <v>1</v>
      </c>
      <c r="B33" s="24"/>
      <c r="C33" s="23" t="s">
        <v>4</v>
      </c>
      <c r="D33" s="25">
        <f>1930000*A33</f>
        <v>1930000</v>
      </c>
      <c r="E33" s="2">
        <f>D33/$F$30</f>
        <v>0.35957966813591291</v>
      </c>
      <c r="F33" s="19">
        <f>D33/H30</f>
        <v>0.3268906073962845</v>
      </c>
      <c r="G33" s="27">
        <f>D33*1.1</f>
        <v>2123000</v>
      </c>
      <c r="H33" s="28" t="s">
        <v>28</v>
      </c>
      <c r="I33" s="25"/>
      <c r="J33" s="25"/>
      <c r="K33"/>
      <c r="L33"/>
    </row>
    <row r="34" spans="1:12" x14ac:dyDescent="0.25">
      <c r="A34" s="24"/>
      <c r="B34" s="24"/>
      <c r="C34" s="23" t="s">
        <v>5</v>
      </c>
      <c r="D34" s="25">
        <f>F30*8%</f>
        <v>429390.24</v>
      </c>
      <c r="E34" s="2">
        <f>D34/$F$30</f>
        <v>0.08</v>
      </c>
      <c r="F34" s="19">
        <f>D34/H30</f>
        <v>7.2727272727272724E-2</v>
      </c>
      <c r="G34" s="27">
        <f>D34*1.1</f>
        <v>472329.26400000002</v>
      </c>
      <c r="H34" s="28" t="s">
        <v>29</v>
      </c>
      <c r="I34" s="25"/>
      <c r="J34" s="25"/>
      <c r="K34"/>
      <c r="L34"/>
    </row>
    <row r="35" spans="1:12" x14ac:dyDescent="0.25">
      <c r="A35" s="24"/>
      <c r="B35" s="24"/>
      <c r="C35" s="23" t="s">
        <v>34</v>
      </c>
      <c r="D35" s="25">
        <f>F30-D33-D34</f>
        <v>3007987.76</v>
      </c>
      <c r="E35" s="2">
        <f>D35/$F$30</f>
        <v>0.56042033186408702</v>
      </c>
      <c r="F35" s="19">
        <f>D35/H30</f>
        <v>0.50947302896735192</v>
      </c>
      <c r="G35" s="27">
        <f>D35*1.1</f>
        <v>3308786.5359999998</v>
      </c>
      <c r="H35" s="28" t="s">
        <v>35</v>
      </c>
      <c r="I35" s="25"/>
      <c r="J35" s="25"/>
      <c r="K35"/>
      <c r="L35"/>
    </row>
    <row r="36" spans="1:12" x14ac:dyDescent="0.25">
      <c r="A36" s="24"/>
      <c r="B36" s="24"/>
      <c r="C36" s="23" t="s">
        <v>1</v>
      </c>
      <c r="D36" s="25">
        <f>(D33+D34+D35)*10%</f>
        <v>536737.80000000005</v>
      </c>
      <c r="E36" s="2"/>
      <c r="F36" s="19">
        <f>D36/H30</f>
        <v>9.0909090909090925E-2</v>
      </c>
      <c r="G36" s="27"/>
      <c r="H36" s="29"/>
      <c r="I36" s="25"/>
      <c r="J36" s="25"/>
      <c r="K36"/>
      <c r="L36"/>
    </row>
    <row r="37" spans="1:12" x14ac:dyDescent="0.25">
      <c r="A37" s="24"/>
      <c r="B37" s="24"/>
      <c r="C37" s="26" t="s">
        <v>2</v>
      </c>
      <c r="D37" s="25">
        <f>SUM(D33:D36)</f>
        <v>5904115.7999999998</v>
      </c>
      <c r="E37" s="19"/>
      <c r="F37" s="19">
        <f>D37/H30</f>
        <v>1</v>
      </c>
      <c r="G37" s="27">
        <f>SUM(G33:G35)</f>
        <v>5904115.7999999998</v>
      </c>
      <c r="H37" s="28" t="s">
        <v>30</v>
      </c>
      <c r="I37" s="25"/>
      <c r="J37" s="25"/>
      <c r="K37"/>
      <c r="L37"/>
    </row>
    <row r="38" spans="1:12" x14ac:dyDescent="0.25">
      <c r="D38" s="1"/>
      <c r="E38"/>
      <c r="F38"/>
      <c r="I38" s="1"/>
      <c r="J38" s="1"/>
      <c r="K38"/>
      <c r="L38"/>
    </row>
    <row r="39" spans="1:12" x14ac:dyDescent="0.25">
      <c r="B39" s="43"/>
      <c r="C39" s="44" t="s">
        <v>36</v>
      </c>
      <c r="D39" s="45"/>
      <c r="E39"/>
      <c r="F39"/>
      <c r="I39" s="1"/>
      <c r="J39" s="1"/>
      <c r="K39"/>
      <c r="L39"/>
    </row>
    <row r="40" spans="1:12" x14ac:dyDescent="0.25">
      <c r="B40" s="43"/>
      <c r="C40" s="46" t="s">
        <v>22</v>
      </c>
      <c r="D40" s="45">
        <f>C30</f>
        <v>2594.3000000000002</v>
      </c>
      <c r="E40" s="72" t="s">
        <v>52</v>
      </c>
      <c r="F40"/>
      <c r="I40" s="1"/>
      <c r="J40" s="1"/>
      <c r="K40"/>
      <c r="L40"/>
    </row>
    <row r="41" spans="1:12" x14ac:dyDescent="0.25">
      <c r="B41" s="43"/>
      <c r="C41" s="44" t="s">
        <v>23</v>
      </c>
      <c r="D41" s="49">
        <f>D33/D40</f>
        <v>743.93863469914811</v>
      </c>
      <c r="E41" s="48">
        <f>(D41-H44)/H44</f>
        <v>0.15698076936103905</v>
      </c>
      <c r="F41" s="47" t="s">
        <v>37</v>
      </c>
      <c r="G41" s="47"/>
      <c r="H41" s="47"/>
      <c r="I41" s="45"/>
      <c r="J41" s="1"/>
      <c r="K41"/>
      <c r="L41"/>
    </row>
    <row r="42" spans="1:12" x14ac:dyDescent="0.25">
      <c r="D42" s="1"/>
      <c r="E42"/>
      <c r="F42"/>
      <c r="I42" s="1"/>
      <c r="J42" s="1"/>
      <c r="K42"/>
      <c r="L42"/>
    </row>
    <row r="43" spans="1:12" x14ac:dyDescent="0.25">
      <c r="D43" s="1"/>
      <c r="E43" s="47"/>
      <c r="F43" s="45"/>
      <c r="G43" s="46" t="s">
        <v>24</v>
      </c>
      <c r="H43" s="47">
        <v>425</v>
      </c>
      <c r="I43" s="47" t="s">
        <v>25</v>
      </c>
      <c r="J43" s="45"/>
      <c r="K43" s="47"/>
      <c r="L43"/>
    </row>
    <row r="44" spans="1:12" x14ac:dyDescent="0.25">
      <c r="D44" s="1"/>
      <c r="E44" s="47"/>
      <c r="F44" s="45"/>
      <c r="G44" s="46" t="s">
        <v>24</v>
      </c>
      <c r="H44" s="47">
        <v>643</v>
      </c>
      <c r="I44" s="47" t="s">
        <v>26</v>
      </c>
      <c r="J44" s="45"/>
      <c r="K44" s="47"/>
      <c r="L44"/>
    </row>
    <row r="45" spans="1:12" x14ac:dyDescent="0.25">
      <c r="D45" s="1"/>
      <c r="E45"/>
      <c r="F45"/>
      <c r="I45" s="70" t="s">
        <v>51</v>
      </c>
      <c r="J45" s="1"/>
      <c r="K45"/>
      <c r="L45"/>
    </row>
    <row r="46" spans="1:12" x14ac:dyDescent="0.25">
      <c r="B46" s="50"/>
      <c r="C46" s="51" t="s">
        <v>38</v>
      </c>
      <c r="D46" s="52"/>
      <c r="E46" s="30"/>
    </row>
    <row r="47" spans="1:12" x14ac:dyDescent="0.25">
      <c r="B47" s="50"/>
      <c r="C47" s="53" t="s">
        <v>22</v>
      </c>
      <c r="D47" s="52">
        <f>D40</f>
        <v>2594.3000000000002</v>
      </c>
      <c r="E47" s="30"/>
    </row>
    <row r="48" spans="1:12" x14ac:dyDescent="0.25">
      <c r="B48" s="50"/>
      <c r="C48" s="51" t="s">
        <v>23</v>
      </c>
      <c r="D48" s="54">
        <f>D35/D47</f>
        <v>1159.4602628840148</v>
      </c>
      <c r="E48" s="30"/>
    </row>
    <row r="49" spans="2:10" x14ac:dyDescent="0.25">
      <c r="C49" s="30"/>
      <c r="D49" s="30"/>
      <c r="E49" s="30"/>
    </row>
    <row r="50" spans="2:10" x14ac:dyDescent="0.25">
      <c r="C50" s="30"/>
      <c r="D50" s="30"/>
      <c r="E50" s="30"/>
    </row>
    <row r="51" spans="2:10" x14ac:dyDescent="0.25">
      <c r="B51" s="55"/>
      <c r="C51" s="56" t="s">
        <v>39</v>
      </c>
      <c r="D51" s="57"/>
      <c r="E51" s="30"/>
    </row>
    <row r="52" spans="2:10" x14ac:dyDescent="0.25">
      <c r="B52" s="55"/>
      <c r="C52" s="58" t="s">
        <v>22</v>
      </c>
      <c r="D52" s="57">
        <f>D40</f>
        <v>2594.3000000000002</v>
      </c>
      <c r="E52" s="30"/>
    </row>
    <row r="53" spans="2:10" x14ac:dyDescent="0.25">
      <c r="B53" s="55"/>
      <c r="C53" s="56" t="s">
        <v>23</v>
      </c>
      <c r="D53" s="59">
        <f>(D35+D34+D33)/D52</f>
        <v>2068.9118451990903</v>
      </c>
      <c r="E53" s="60">
        <f>(D53-J55)/J55</f>
        <v>0.11195916364090157</v>
      </c>
      <c r="F53" s="61" t="s">
        <v>42</v>
      </c>
      <c r="G53" s="61"/>
      <c r="H53" s="61"/>
      <c r="I53" s="61"/>
    </row>
    <row r="54" spans="2:10" ht="15.75" thickBot="1" x14ac:dyDescent="0.3">
      <c r="B54" s="62"/>
      <c r="C54" s="63"/>
      <c r="D54" s="64" t="s">
        <v>41</v>
      </c>
      <c r="E54" s="65" t="s">
        <v>43</v>
      </c>
      <c r="F54" s="65" t="s">
        <v>44</v>
      </c>
      <c r="G54" s="65" t="s">
        <v>45</v>
      </c>
      <c r="H54" s="65" t="s">
        <v>46</v>
      </c>
      <c r="I54" s="65" t="s">
        <v>47</v>
      </c>
      <c r="J54" s="65" t="s">
        <v>48</v>
      </c>
    </row>
    <row r="55" spans="2:10" x14ac:dyDescent="0.25">
      <c r="B55" s="62"/>
      <c r="C55" s="63"/>
      <c r="D55" s="64" t="s">
        <v>40</v>
      </c>
      <c r="E55" s="66">
        <v>2211.0499241389252</v>
      </c>
      <c r="F55" s="66">
        <v>2118.148343477093</v>
      </c>
      <c r="G55" s="66">
        <v>2004.8889015757022</v>
      </c>
      <c r="H55" s="66">
        <v>1946.8897408011601</v>
      </c>
      <c r="I55" s="66">
        <v>1923.4509069660776</v>
      </c>
      <c r="J55" s="66">
        <v>1860.6005623667211</v>
      </c>
    </row>
    <row r="56" spans="2:10" x14ac:dyDescent="0.25">
      <c r="B56" s="62"/>
      <c r="C56" s="63"/>
      <c r="D56" s="64" t="s">
        <v>70</v>
      </c>
      <c r="E56" s="68"/>
      <c r="F56" s="69">
        <f>(F55-E55)/E55</f>
        <v>-4.201695296320003E-2</v>
      </c>
      <c r="G56" s="69">
        <f>(G55-F55)/F55</f>
        <v>-5.3470967814967706E-2</v>
      </c>
      <c r="H56" s="69">
        <f>(H55-G55)/G55</f>
        <v>-2.8928865199941433E-2</v>
      </c>
      <c r="I56" s="69">
        <f>(I55-H55)/H55</f>
        <v>-1.2039117236006003E-2</v>
      </c>
      <c r="J56" s="69">
        <f>(J55-I55)/I55</f>
        <v>-3.2675824671029648E-2</v>
      </c>
    </row>
    <row r="57" spans="2:10" x14ac:dyDescent="0.25">
      <c r="C57" s="30"/>
      <c r="D57" s="30"/>
      <c r="E57" s="30"/>
    </row>
    <row r="58" spans="2:10" x14ac:dyDescent="0.25">
      <c r="B58" s="67" t="s">
        <v>49</v>
      </c>
      <c r="C58" s="30"/>
      <c r="D58" s="30"/>
      <c r="E58" s="30"/>
    </row>
    <row r="59" spans="2:10" x14ac:dyDescent="0.25">
      <c r="B59" s="67" t="s">
        <v>50</v>
      </c>
      <c r="C59" s="30"/>
      <c r="D59" s="30"/>
      <c r="E59" s="30"/>
    </row>
    <row r="60" spans="2:10" x14ac:dyDescent="0.25">
      <c r="C60" s="30"/>
      <c r="D60" s="30"/>
      <c r="E60" s="30"/>
    </row>
    <row r="61" spans="2:10" x14ac:dyDescent="0.25">
      <c r="C61" s="30"/>
      <c r="D61" s="30"/>
      <c r="E61" s="30" t="s">
        <v>64</v>
      </c>
    </row>
    <row r="62" spans="2:10" x14ac:dyDescent="0.25">
      <c r="C62" s="30"/>
      <c r="D62" s="30"/>
      <c r="E62" s="30" t="s">
        <v>53</v>
      </c>
      <c r="F62" s="1" t="s">
        <v>86</v>
      </c>
    </row>
    <row r="63" spans="2:10" x14ac:dyDescent="0.25">
      <c r="C63" s="30"/>
      <c r="D63" s="30"/>
      <c r="E63" s="30"/>
      <c r="F63" s="1" t="s">
        <v>56</v>
      </c>
    </row>
    <row r="64" spans="2:10" x14ac:dyDescent="0.25">
      <c r="C64" s="30"/>
      <c r="D64" s="30"/>
      <c r="E64" s="30" t="s">
        <v>54</v>
      </c>
      <c r="F64" s="1" t="s">
        <v>57</v>
      </c>
    </row>
    <row r="65" spans="1:20" x14ac:dyDescent="0.25">
      <c r="C65" s="30"/>
      <c r="D65" s="30"/>
      <c r="E65" s="30"/>
      <c r="F65" s="1" t="s">
        <v>58</v>
      </c>
    </row>
    <row r="66" spans="1:20" x14ac:dyDescent="0.25">
      <c r="C66" s="30"/>
      <c r="D66" s="30"/>
      <c r="E66" s="30"/>
      <c r="F66" s="1" t="s">
        <v>63</v>
      </c>
    </row>
    <row r="67" spans="1:20" x14ac:dyDescent="0.25">
      <c r="C67" s="30"/>
      <c r="D67" s="30"/>
      <c r="E67" s="30" t="s">
        <v>55</v>
      </c>
      <c r="F67" s="1" t="s">
        <v>71</v>
      </c>
    </row>
    <row r="68" spans="1:20" x14ac:dyDescent="0.25">
      <c r="C68" s="30"/>
      <c r="D68" s="30"/>
      <c r="E68" s="30"/>
      <c r="F68" s="1" t="s">
        <v>72</v>
      </c>
    </row>
    <row r="69" spans="1:20" x14ac:dyDescent="0.25">
      <c r="C69" s="30"/>
      <c r="D69" s="30"/>
      <c r="E69" s="30"/>
      <c r="F69" s="1" t="s">
        <v>73</v>
      </c>
    </row>
    <row r="70" spans="1:20" x14ac:dyDescent="0.25">
      <c r="C70" s="30"/>
      <c r="D70" s="30"/>
      <c r="E70" s="30"/>
      <c r="F70" s="1" t="s">
        <v>66</v>
      </c>
    </row>
    <row r="71" spans="1:20" x14ac:dyDescent="0.25">
      <c r="C71" s="30"/>
      <c r="D71" s="30"/>
      <c r="E71" s="30"/>
      <c r="F71" s="1" t="s">
        <v>67</v>
      </c>
    </row>
    <row r="72" spans="1:20" x14ac:dyDescent="0.25">
      <c r="C72" s="30"/>
      <c r="D72" s="30"/>
      <c r="E72" s="30" t="s">
        <v>59</v>
      </c>
      <c r="F72" s="1" t="s">
        <v>74</v>
      </c>
    </row>
    <row r="73" spans="1:20" x14ac:dyDescent="0.25">
      <c r="C73" s="30"/>
      <c r="D73" s="30"/>
      <c r="E73" s="30"/>
      <c r="F73" s="1" t="s">
        <v>69</v>
      </c>
    </row>
    <row r="74" spans="1:20" x14ac:dyDescent="0.25">
      <c r="C74" s="30"/>
      <c r="D74" s="30"/>
      <c r="E74" s="30"/>
      <c r="F74" s="1" t="s">
        <v>60</v>
      </c>
    </row>
    <row r="75" spans="1:20" x14ac:dyDescent="0.25">
      <c r="C75" s="30"/>
      <c r="D75" s="30"/>
      <c r="E75" s="30"/>
      <c r="F75" s="18" t="s">
        <v>62</v>
      </c>
      <c r="G75" t="s">
        <v>61</v>
      </c>
    </row>
    <row r="76" spans="1:20" x14ac:dyDescent="0.25">
      <c r="C76" s="30"/>
      <c r="D76" s="30"/>
      <c r="E76" s="30"/>
      <c r="F76" s="18" t="s">
        <v>62</v>
      </c>
      <c r="G76" t="s">
        <v>68</v>
      </c>
    </row>
    <row r="77" spans="1:20" x14ac:dyDescent="0.25">
      <c r="C77" s="30"/>
      <c r="D77" s="30"/>
      <c r="E77" s="30"/>
    </row>
    <row r="78" spans="1:20" x14ac:dyDescent="0.25">
      <c r="C78" s="30"/>
      <c r="D78" s="30"/>
      <c r="E78" s="76" t="s">
        <v>81</v>
      </c>
      <c r="F78" s="76"/>
      <c r="G78" s="76"/>
      <c r="H78" s="76"/>
      <c r="I78" s="76" t="s">
        <v>82</v>
      </c>
      <c r="J78" s="76"/>
      <c r="K78" s="76"/>
      <c r="L78" s="76"/>
      <c r="M78" s="76" t="s">
        <v>83</v>
      </c>
      <c r="N78" s="76"/>
      <c r="O78" s="76"/>
      <c r="P78" s="76"/>
      <c r="Q78" s="76" t="s">
        <v>84</v>
      </c>
      <c r="R78" s="76"/>
      <c r="S78" s="76"/>
      <c r="T78" s="76"/>
    </row>
    <row r="79" spans="1:20" x14ac:dyDescent="0.25">
      <c r="A79" s="62"/>
      <c r="B79" s="62"/>
      <c r="C79" s="63"/>
      <c r="D79" s="64" t="s">
        <v>79</v>
      </c>
      <c r="E79" s="77" t="s">
        <v>75</v>
      </c>
      <c r="F79" s="78" t="s">
        <v>76</v>
      </c>
      <c r="G79" s="77" t="s">
        <v>77</v>
      </c>
      <c r="H79" s="77" t="s">
        <v>78</v>
      </c>
      <c r="I79" s="77" t="s">
        <v>75</v>
      </c>
      <c r="J79" s="78" t="s">
        <v>76</v>
      </c>
      <c r="K79" s="77" t="s">
        <v>77</v>
      </c>
      <c r="L79" s="77" t="s">
        <v>78</v>
      </c>
      <c r="M79" s="77" t="s">
        <v>75</v>
      </c>
      <c r="N79" s="78" t="s">
        <v>76</v>
      </c>
      <c r="O79" s="77" t="s">
        <v>77</v>
      </c>
      <c r="P79" s="77" t="s">
        <v>78</v>
      </c>
      <c r="Q79" s="77" t="s">
        <v>75</v>
      </c>
      <c r="R79" s="78" t="s">
        <v>76</v>
      </c>
      <c r="S79" s="77" t="s">
        <v>77</v>
      </c>
      <c r="T79" s="77" t="s">
        <v>78</v>
      </c>
    </row>
    <row r="80" spans="1:20" x14ac:dyDescent="0.25">
      <c r="A80" s="62"/>
      <c r="B80" s="62"/>
      <c r="C80" s="63"/>
      <c r="D80" s="64" t="s">
        <v>80</v>
      </c>
      <c r="E80" s="81">
        <v>927.1</v>
      </c>
      <c r="F80" s="82">
        <v>962.6</v>
      </c>
      <c r="G80" s="81">
        <v>1023.6</v>
      </c>
      <c r="H80" s="81">
        <v>937.73</v>
      </c>
      <c r="I80" s="81">
        <v>902.43</v>
      </c>
      <c r="J80" s="82">
        <v>515.99</v>
      </c>
      <c r="K80" s="81">
        <v>941.66</v>
      </c>
      <c r="L80" s="81">
        <v>1002.47</v>
      </c>
      <c r="M80" s="81">
        <v>693.78</v>
      </c>
      <c r="N80" s="82">
        <v>721.9</v>
      </c>
      <c r="O80" s="81">
        <v>499.44</v>
      </c>
      <c r="P80" s="81">
        <v>747.78</v>
      </c>
      <c r="Q80" s="81">
        <v>732.74</v>
      </c>
      <c r="R80" s="82">
        <v>739.98</v>
      </c>
      <c r="S80" s="82">
        <v>648.76</v>
      </c>
      <c r="T80" s="82">
        <v>642.87</v>
      </c>
    </row>
    <row r="81" spans="1:20" x14ac:dyDescent="0.25">
      <c r="A81" s="62"/>
      <c r="B81" s="62"/>
      <c r="C81" s="63"/>
      <c r="D81" s="64" t="s">
        <v>70</v>
      </c>
      <c r="E81" s="79"/>
      <c r="F81" s="80">
        <f>(F80-E80)/E80</f>
        <v>3.8291446445906589E-2</v>
      </c>
      <c r="G81" s="80">
        <f t="shared" ref="G81:I81" si="22">(G80-F80)/F80</f>
        <v>6.3370039476418033E-2</v>
      </c>
      <c r="H81" s="80">
        <f t="shared" si="22"/>
        <v>-8.3890191481047288E-2</v>
      </c>
      <c r="I81" s="80">
        <f t="shared" si="22"/>
        <v>-3.7644097981295324E-2</v>
      </c>
      <c r="J81" s="80">
        <f t="shared" ref="J81" si="23">(J80-I80)/I80</f>
        <v>-0.42822157951309237</v>
      </c>
      <c r="K81" s="80">
        <f t="shared" ref="K81:L81" si="24">(K80-J80)/J80</f>
        <v>0.82495784802031036</v>
      </c>
      <c r="L81" s="80">
        <f t="shared" si="24"/>
        <v>6.4577448335917484E-2</v>
      </c>
      <c r="M81" s="80">
        <f>(M80-L80)/L80</f>
        <v>-0.30792941434656401</v>
      </c>
      <c r="N81" s="80">
        <f t="shared" ref="N81" si="25">(N80-M80)/M80</f>
        <v>4.0531580616333718E-2</v>
      </c>
      <c r="O81" s="80">
        <f t="shared" ref="O81" si="26">(O80-N80)/N80</f>
        <v>-0.30815902479567803</v>
      </c>
      <c r="P81" s="80">
        <f t="shared" ref="P81" si="27">(P80-O80)/O80</f>
        <v>0.49723690533397402</v>
      </c>
      <c r="Q81" s="80">
        <f>(Q80-P80)/P80</f>
        <v>-2.0112867420899148E-2</v>
      </c>
      <c r="R81" s="80">
        <f t="shared" ref="R81" si="28">(R80-Q80)/Q80</f>
        <v>9.8807216748096303E-3</v>
      </c>
      <c r="S81" s="80">
        <f t="shared" ref="S81" si="29">(S80-R80)/R80</f>
        <v>-0.12327360198924299</v>
      </c>
      <c r="T81" s="80">
        <f>(T80-S80)/S80</f>
        <v>-9.0788581293544408E-3</v>
      </c>
    </row>
    <row r="82" spans="1:20" x14ac:dyDescent="0.25">
      <c r="C82" s="30"/>
      <c r="D82" s="30"/>
      <c r="E82" s="83" t="s">
        <v>85</v>
      </c>
    </row>
    <row r="83" spans="1:20" x14ac:dyDescent="0.25">
      <c r="C83" s="30"/>
      <c r="D83" s="30"/>
      <c r="E83" s="30"/>
    </row>
    <row r="84" spans="1:20" x14ac:dyDescent="0.25">
      <c r="C84" s="30"/>
      <c r="D84" s="30"/>
      <c r="E84" s="30"/>
    </row>
    <row r="85" spans="1:20" x14ac:dyDescent="0.25">
      <c r="C85" s="30"/>
      <c r="D85" s="30"/>
      <c r="E85" s="30"/>
    </row>
    <row r="86" spans="1:20" x14ac:dyDescent="0.25">
      <c r="C86" s="30"/>
      <c r="D86" s="30"/>
      <c r="E86" s="30"/>
    </row>
    <row r="87" spans="1:20" x14ac:dyDescent="0.25">
      <c r="C87" s="30"/>
      <c r="D87" s="30"/>
      <c r="E87" s="30"/>
    </row>
    <row r="88" spans="1:20" x14ac:dyDescent="0.25">
      <c r="C88" s="30"/>
      <c r="D88" s="30"/>
      <c r="E88" s="30"/>
    </row>
    <row r="89" spans="1:20" x14ac:dyDescent="0.25">
      <c r="C89" s="30"/>
      <c r="D89" s="30"/>
      <c r="E89" s="30"/>
    </row>
    <row r="90" spans="1:20" x14ac:dyDescent="0.25">
      <c r="C90" s="30"/>
      <c r="D90" s="30"/>
      <c r="E90" s="30"/>
    </row>
    <row r="91" spans="1:20" x14ac:dyDescent="0.25">
      <c r="C91" s="30"/>
      <c r="D91" s="30"/>
      <c r="E91" s="30"/>
    </row>
    <row r="92" spans="1:20" x14ac:dyDescent="0.25">
      <c r="C92" s="30"/>
      <c r="D92" s="30"/>
      <c r="E92" s="30"/>
    </row>
    <row r="93" spans="1:20" x14ac:dyDescent="0.25">
      <c r="C93" s="30"/>
      <c r="D93" s="30"/>
      <c r="E93" s="30"/>
    </row>
    <row r="94" spans="1:20" x14ac:dyDescent="0.25">
      <c r="C94" s="30"/>
      <c r="D94" s="30"/>
      <c r="E94" s="30"/>
    </row>
    <row r="95" spans="1:20" x14ac:dyDescent="0.25">
      <c r="C95" s="30"/>
      <c r="D95" s="30"/>
      <c r="E95" s="30"/>
    </row>
    <row r="96" spans="1:20" x14ac:dyDescent="0.25">
      <c r="C96" s="30"/>
      <c r="D96" s="30"/>
      <c r="E96" s="30"/>
    </row>
    <row r="97" spans="3:5" x14ac:dyDescent="0.25">
      <c r="C97" s="30"/>
      <c r="D97" s="30"/>
      <c r="E97" s="30"/>
    </row>
    <row r="98" spans="3:5" x14ac:dyDescent="0.25">
      <c r="C98" s="30"/>
      <c r="D98" s="30"/>
      <c r="E98" s="30"/>
    </row>
    <row r="99" spans="3:5" x14ac:dyDescent="0.25">
      <c r="C99" s="30"/>
      <c r="D99" s="30"/>
      <c r="E99" s="30"/>
    </row>
    <row r="100" spans="3:5" x14ac:dyDescent="0.25">
      <c r="C100" s="30"/>
      <c r="D100" s="30"/>
      <c r="E100" s="30"/>
    </row>
    <row r="101" spans="3:5" x14ac:dyDescent="0.25">
      <c r="C101" s="30"/>
      <c r="D101" s="30"/>
      <c r="E101" s="30"/>
    </row>
    <row r="102" spans="3:5" x14ac:dyDescent="0.25">
      <c r="C102" s="30"/>
      <c r="D102" s="30"/>
      <c r="E102" s="30"/>
    </row>
    <row r="103" spans="3:5" x14ac:dyDescent="0.25">
      <c r="C103" s="30"/>
      <c r="D103" s="30"/>
      <c r="E103" s="30"/>
    </row>
    <row r="104" spans="3:5" x14ac:dyDescent="0.25">
      <c r="C104" s="30"/>
      <c r="D104" s="30"/>
      <c r="E104" s="30"/>
    </row>
    <row r="105" spans="3:5" x14ac:dyDescent="0.25">
      <c r="C105" s="30"/>
      <c r="D105" s="30"/>
      <c r="E105" s="30"/>
    </row>
    <row r="106" spans="3:5" x14ac:dyDescent="0.25">
      <c r="C106" s="30"/>
      <c r="D106" s="30"/>
      <c r="E106" s="30"/>
    </row>
    <row r="107" spans="3:5" x14ac:dyDescent="0.25">
      <c r="C107" s="30"/>
      <c r="D107" s="30"/>
      <c r="E107" s="30"/>
    </row>
    <row r="108" spans="3:5" x14ac:dyDescent="0.25">
      <c r="C108" s="30"/>
      <c r="D108" s="30"/>
      <c r="E108" s="30"/>
    </row>
    <row r="109" spans="3:5" x14ac:dyDescent="0.25">
      <c r="C109" s="30"/>
      <c r="D109" s="30"/>
      <c r="E109" s="30"/>
    </row>
    <row r="110" spans="3:5" x14ac:dyDescent="0.25">
      <c r="C110" s="30"/>
      <c r="D110" s="30"/>
      <c r="E110" s="30"/>
    </row>
    <row r="111" spans="3:5" x14ac:dyDescent="0.25">
      <c r="C111" s="30"/>
      <c r="D111" s="30"/>
      <c r="E111" s="30"/>
    </row>
    <row r="112" spans="3:5" x14ac:dyDescent="0.25">
      <c r="C112" s="30"/>
      <c r="D112" s="30"/>
      <c r="E112" s="30"/>
    </row>
    <row r="113" spans="3:5" x14ac:dyDescent="0.25">
      <c r="C113" s="30"/>
      <c r="D113" s="30"/>
      <c r="E113" s="30"/>
    </row>
    <row r="114" spans="3:5" x14ac:dyDescent="0.25">
      <c r="C114" s="30"/>
      <c r="D114" s="30"/>
      <c r="E114" s="30"/>
    </row>
    <row r="115" spans="3:5" x14ac:dyDescent="0.25">
      <c r="C115" s="30"/>
      <c r="D115" s="30"/>
      <c r="E115" s="30"/>
    </row>
    <row r="116" spans="3:5" x14ac:dyDescent="0.25">
      <c r="C116" s="30"/>
      <c r="D116" s="30"/>
      <c r="E116" s="30"/>
    </row>
    <row r="117" spans="3:5" x14ac:dyDescent="0.25">
      <c r="C117" s="30"/>
      <c r="D117" s="30"/>
      <c r="E117" s="30"/>
    </row>
    <row r="118" spans="3:5" x14ac:dyDescent="0.25">
      <c r="C118" s="30"/>
      <c r="D118" s="30"/>
      <c r="E118" s="30"/>
    </row>
    <row r="119" spans="3:5" x14ac:dyDescent="0.25">
      <c r="C119" s="30"/>
      <c r="D119" s="30"/>
      <c r="E119" s="30"/>
    </row>
  </sheetData>
  <mergeCells count="4">
    <mergeCell ref="E78:H78"/>
    <mergeCell ref="I78:L78"/>
    <mergeCell ref="M78:P78"/>
    <mergeCell ref="Q78:T78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Fuentes Monterrubio, José Luis</dc:creator>
  <cp:lastModifiedBy>Fuentes Monterrubio, José Luis</cp:lastModifiedBy>
  <cp:lastPrinted>2013-07-11T11:10:42Z</cp:lastPrinted>
  <dcterms:created xsi:type="dcterms:W3CDTF">2013-04-13T16:36:51Z</dcterms:created>
  <dcterms:modified xsi:type="dcterms:W3CDTF">2013-07-11T11:11:08Z</dcterms:modified>
</cp:coreProperties>
</file>