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06" activeTab="0"/>
  </bookViews>
  <sheets>
    <sheet name="TOMA DE DATOS" sheetId="1" r:id="rId1"/>
    <sheet name="DATOS" sheetId="2" r:id="rId2"/>
    <sheet name="% SERVICIOS" sheetId="3" r:id="rId3"/>
    <sheet name="REPARTO COSTOS" sheetId="4" r:id="rId4"/>
    <sheet name="RATIOS RTO" sheetId="5" r:id="rId5"/>
    <sheet name="% ZONAS" sheetId="6" r:id="rId6"/>
    <sheet name="CIUDADES" sheetId="7" r:id="rId7"/>
  </sheets>
  <definedNames/>
  <calcPr fullCalcOnLoad="1"/>
</workbook>
</file>

<file path=xl/sharedStrings.xml><?xml version="1.0" encoding="utf-8"?>
<sst xmlns="http://schemas.openxmlformats.org/spreadsheetml/2006/main" count="449" uniqueCount="224">
  <si>
    <t>COMBUSTIBLE</t>
  </si>
  <si>
    <t>%</t>
  </si>
  <si>
    <t>FIJO</t>
  </si>
  <si>
    <t>TOTAL</t>
  </si>
  <si>
    <t>kWh</t>
  </si>
  <si>
    <t>CALEFACCION</t>
  </si>
  <si>
    <t>- CALEFACCION</t>
  </si>
  <si>
    <t>- ACS</t>
  </si>
  <si>
    <t>MANTENIMIENTO</t>
  </si>
  <si>
    <t>REPARACIONES</t>
  </si>
  <si>
    <t>ADMINISTRACION y OTROS</t>
  </si>
  <si>
    <t>LECTURAS DE CONTADORES</t>
  </si>
  <si>
    <t>ACS</t>
  </si>
  <si>
    <t>COMPONENTE</t>
  </si>
  <si>
    <t>UNIDAD</t>
  </si>
  <si>
    <t>ELECTRICIDAD (kWh)</t>
  </si>
  <si>
    <t>ANALISIS ANUAL COSTOS CALEFACCION Y ACS</t>
  </si>
  <si>
    <t>- COMBUSTIBLE</t>
  </si>
  <si>
    <t>CONTADORES INDIVIDUALES</t>
  </si>
  <si>
    <t>GASOLEO</t>
  </si>
  <si>
    <t>kWh/l</t>
  </si>
  <si>
    <t>CONTADORES GENERALES</t>
  </si>
  <si>
    <t>CONSUMOS POR VIVIENDA</t>
  </si>
  <si>
    <t>- kWh/viv·año</t>
  </si>
  <si>
    <r>
      <t>- kWh/m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</si>
  <si>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r>
      <t>- l</t>
    </r>
    <r>
      <rPr>
        <vertAlign val="subscript"/>
        <sz val="12"/>
        <rFont val="Times New Roman"/>
        <family val="1"/>
      </rPr>
      <t>ACS</t>
    </r>
    <r>
      <rPr>
        <sz val="12"/>
        <rFont val="Times New Roman"/>
        <family val="1"/>
      </rPr>
      <t>/viv·día</t>
    </r>
  </si>
  <si>
    <r>
      <t>- kWh</t>
    </r>
    <r>
      <rPr>
        <vertAlign val="subscript"/>
        <sz val="12"/>
        <rFont val="Times New Roman"/>
        <family val="1"/>
      </rPr>
      <t>CLF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</si>
  <si>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r>
      <t>- kWh</t>
    </r>
    <r>
      <rPr>
        <vertAlign val="subscript"/>
        <sz val="12"/>
        <rFont val="Times New Roman"/>
        <family val="1"/>
      </rPr>
      <t>ACS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</si>
  <si>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t>COSTOS SERVICIOS</t>
  </si>
  <si>
    <r>
      <t>TOTAL 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</si>
  <si>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r>
      <t>TOTAL PROMEDIO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</si>
  <si>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t>ZONA CLIMATICA</t>
  </si>
  <si>
    <t>A</t>
  </si>
  <si>
    <t>B</t>
  </si>
  <si>
    <t>C</t>
  </si>
  <si>
    <t>D</t>
  </si>
  <si>
    <t>E</t>
  </si>
  <si>
    <t>% FIJO</t>
  </si>
  <si>
    <r>
      <t>η</t>
    </r>
    <r>
      <rPr>
        <b/>
        <vertAlign val="subscript"/>
        <sz val="12"/>
        <color indexed="8"/>
        <rFont val="Times New Roman"/>
        <family val="1"/>
      </rPr>
      <t>ge</t>
    </r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</si>
  <si>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</si>
  <si>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t>EJEMPLO</t>
  </si>
  <si>
    <t>CONSUMO ANUAL DE COMBUSTIBLE</t>
  </si>
  <si>
    <t>kWh/año</t>
  </si>
  <si>
    <t>€/año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</si>
  <si>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/año</t>
    </r>
  </si>
  <si>
    <r>
      <t>COMBUSTIBLE</t>
    </r>
    <r>
      <rPr>
        <sz val="12"/>
        <rFont val="Times New Roman"/>
        <family val="1"/>
      </rPr>
      <t>……………………….</t>
    </r>
  </si>
  <si>
    <r>
      <t>MANTENIMIENTO</t>
    </r>
    <r>
      <rPr>
        <sz val="12"/>
        <rFont val="Times New Roman"/>
        <family val="1"/>
      </rPr>
      <t>…………………..</t>
    </r>
  </si>
  <si>
    <r>
      <t>REPARACIONES</t>
    </r>
    <r>
      <rPr>
        <sz val="12"/>
        <rFont val="Times New Roman"/>
        <family val="1"/>
      </rPr>
      <t>……………………..</t>
    </r>
  </si>
  <si>
    <r>
      <t>ELECTRICIDAD</t>
    </r>
    <r>
      <rPr>
        <sz val="12"/>
        <rFont val="Times New Roman"/>
        <family val="1"/>
      </rPr>
      <t>……………………..</t>
    </r>
  </si>
  <si>
    <r>
      <t>AGUA PARA ACS</t>
    </r>
    <r>
      <rPr>
        <sz val="12"/>
        <rFont val="Times New Roman"/>
        <family val="1"/>
      </rPr>
      <t>…………………….</t>
    </r>
  </si>
  <si>
    <r>
      <t>AGUA EN SALA</t>
    </r>
    <r>
      <rPr>
        <sz val="12"/>
        <rFont val="Times New Roman"/>
        <family val="1"/>
      </rPr>
      <t>……………………….</t>
    </r>
  </si>
  <si>
    <r>
      <t>LECTURAS CONTADORES</t>
    </r>
    <r>
      <rPr>
        <sz val="12"/>
        <rFont val="Times New Roman"/>
        <family val="1"/>
      </rPr>
      <t>………………..</t>
    </r>
  </si>
  <si>
    <r>
      <t>ADMINISTRACION Y VARIOS</t>
    </r>
    <r>
      <rPr>
        <sz val="12"/>
        <rFont val="Times New Roman"/>
        <family val="1"/>
      </rPr>
      <t>……………</t>
    </r>
  </si>
  <si>
    <t>COSTOS ANUALES</t>
  </si>
  <si>
    <r>
      <t>DIRECCION</t>
    </r>
    <r>
      <rPr>
        <sz val="12"/>
        <color indexed="9"/>
        <rFont val="Times New Roman"/>
        <family val="1"/>
      </rPr>
      <t>………………………...…………………..</t>
    </r>
  </si>
  <si>
    <r>
      <t>NUMERO DE VIVIENDAS</t>
    </r>
    <r>
      <rPr>
        <sz val="12"/>
        <color indexed="9"/>
        <rFont val="Times New Roman"/>
        <family val="1"/>
      </rPr>
      <t>……………………...……..</t>
    </r>
  </si>
  <si>
    <r>
      <t>SUPERFICIE TOTAL</t>
    </r>
    <r>
      <rPr>
        <sz val="12"/>
        <color indexed="9"/>
        <rFont val="Times New Roman"/>
        <family val="1"/>
      </rPr>
      <t>……………………….………………</t>
    </r>
  </si>
  <si>
    <r>
      <t>COMBUSTIBLE</t>
    </r>
    <r>
      <rPr>
        <sz val="12"/>
        <color indexed="9"/>
        <rFont val="Times New Roman"/>
        <family val="1"/>
      </rPr>
      <t>…………………..…………………….</t>
    </r>
  </si>
  <si>
    <r>
      <t>AÑO ANALIZADO</t>
    </r>
    <r>
      <rPr>
        <sz val="12"/>
        <color indexed="9"/>
        <rFont val="Times New Roman"/>
        <family val="1"/>
      </rPr>
      <t>…………………………..………………..</t>
    </r>
  </si>
  <si>
    <t>LECTURAS CONTADORES INDIVIDUALES</t>
  </si>
  <si>
    <r>
      <t>CONSUMO ANUAL</t>
    </r>
    <r>
      <rPr>
        <sz val="12"/>
        <rFont val="Times New Roman"/>
        <family val="1"/>
      </rPr>
      <t>…………..</t>
    </r>
  </si>
  <si>
    <r>
      <t>PCI</t>
    </r>
    <r>
      <rPr>
        <sz val="12"/>
        <rFont val="Times New Roman"/>
        <family val="1"/>
      </rPr>
      <t>…………………..……..</t>
    </r>
  </si>
  <si>
    <r>
      <t>ENERGIA ANUAL</t>
    </r>
    <r>
      <rPr>
        <sz val="12"/>
        <rFont val="Times New Roman"/>
        <family val="1"/>
      </rPr>
      <t>…………..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</si>
  <si>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</si>
  <si>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ACS</t>
    </r>
    <r>
      <rPr>
        <sz val="12"/>
        <rFont val="Times New Roman"/>
        <family val="1"/>
      </rPr>
      <t>……………………………</t>
    </r>
  </si>
  <si>
    <r>
      <t>CALEFACCION</t>
    </r>
    <r>
      <rPr>
        <sz val="12"/>
        <rFont val="Times New Roman"/>
        <family val="1"/>
      </rPr>
      <t>……………………….</t>
    </r>
  </si>
  <si>
    <r>
      <t>TOTAL ANUAL</t>
    </r>
    <r>
      <rPr>
        <sz val="12"/>
        <color indexed="41"/>
        <rFont val="Times New Roman"/>
        <family val="1"/>
      </rPr>
      <t>………………………..</t>
    </r>
  </si>
  <si>
    <r>
      <t>TOTAL ANUAL</t>
    </r>
    <r>
      <rPr>
        <sz val="12"/>
        <color indexed="42"/>
        <rFont val="Times New Roman"/>
        <family val="1"/>
      </rPr>
      <t>………………………..</t>
    </r>
  </si>
  <si>
    <t>ANALISIS DE CONSUMOS Y COSTOS DE LA INSTALACION DE CALEFACCION Y ACS</t>
  </si>
  <si>
    <r>
      <t>AGUA PARA ACS (m</t>
    </r>
    <r>
      <rPr>
        <b/>
        <vertAlign val="superscript"/>
        <sz val="12"/>
        <color indexed="9"/>
        <rFont val="Times New Roman"/>
        <family val="1"/>
      </rPr>
      <t>3</t>
    </r>
    <r>
      <rPr>
        <b/>
        <sz val="12"/>
        <color indexed="9"/>
        <rFont val="Times New Roman"/>
        <family val="1"/>
      </rPr>
      <t>)</t>
    </r>
  </si>
  <si>
    <r>
      <t>AGUA SALA (m</t>
    </r>
    <r>
      <rPr>
        <b/>
        <vertAlign val="superscript"/>
        <sz val="12"/>
        <color indexed="9"/>
        <rFont val="Times New Roman"/>
        <family val="1"/>
      </rPr>
      <t>3</t>
    </r>
    <r>
      <rPr>
        <b/>
        <sz val="12"/>
        <color indexed="9"/>
        <rFont val="Times New Roman"/>
        <family val="1"/>
      </rPr>
      <t>)</t>
    </r>
  </si>
  <si>
    <t>RATIOS CONSUMO</t>
  </si>
  <si>
    <r>
      <t>CONSUMO ANUAL</t>
    </r>
    <r>
      <rPr>
        <sz val="12"/>
        <rFont val="Times New Roman"/>
        <family val="1"/>
      </rPr>
      <t>…………………...……..</t>
    </r>
  </si>
  <si>
    <r>
      <t>DIRECCION</t>
    </r>
    <r>
      <rPr>
        <sz val="12"/>
        <rFont val="Times New Roman"/>
        <family val="1"/>
      </rPr>
      <t>……………...……..……………..</t>
    </r>
  </si>
  <si>
    <r>
      <t>Nº VIVIENDAS</t>
    </r>
    <r>
      <rPr>
        <sz val="12"/>
        <rFont val="Times New Roman"/>
        <family val="1"/>
      </rPr>
      <t>…………………...……………..</t>
    </r>
  </si>
  <si>
    <r>
      <t>SUPERFICIE TOTAL</t>
    </r>
    <r>
      <rPr>
        <sz val="12"/>
        <rFont val="Times New Roman"/>
        <family val="1"/>
      </rPr>
      <t>……………….…………….</t>
    </r>
  </si>
  <si>
    <r>
      <t>COMBUSTIBLE</t>
    </r>
    <r>
      <rPr>
        <sz val="12"/>
        <rFont val="Times New Roman"/>
        <family val="1"/>
      </rPr>
      <t>………………….…………..</t>
    </r>
  </si>
  <si>
    <r>
      <t>AÑO ANALIZADO</t>
    </r>
    <r>
      <rPr>
        <sz val="12"/>
        <rFont val="Times New Roman"/>
        <family val="1"/>
      </rPr>
      <t>…………………..……………….</t>
    </r>
  </si>
  <si>
    <r>
      <t>COMBUSTIBLE</t>
    </r>
    <r>
      <rPr>
        <sz val="12"/>
        <rFont val="Times New Roman"/>
        <family val="1"/>
      </rPr>
      <t>………………………….……………….</t>
    </r>
  </si>
  <si>
    <r>
      <t>MANTENIMIENTO</t>
    </r>
    <r>
      <rPr>
        <sz val="12"/>
        <rFont val="Times New Roman"/>
        <family val="1"/>
      </rPr>
      <t>……………………….……………..</t>
    </r>
  </si>
  <si>
    <r>
      <t>REPARACIONES</t>
    </r>
    <r>
      <rPr>
        <sz val="12"/>
        <rFont val="Times New Roman"/>
        <family val="1"/>
      </rPr>
      <t>…………………….………………..</t>
    </r>
  </si>
  <si>
    <r>
      <t>ELECTRICIDAD</t>
    </r>
    <r>
      <rPr>
        <sz val="12"/>
        <rFont val="Times New Roman"/>
        <family val="1"/>
      </rPr>
      <t>…………………………...……………..</t>
    </r>
  </si>
  <si>
    <r>
      <t>AGUA PARA ACS</t>
    </r>
    <r>
      <rPr>
        <sz val="12"/>
        <rFont val="Times New Roman"/>
        <family val="1"/>
      </rPr>
      <t>……………………..……………….</t>
    </r>
  </si>
  <si>
    <r>
      <t>AGUA EN SALA</t>
    </r>
    <r>
      <rPr>
        <sz val="12"/>
        <rFont val="Times New Roman"/>
        <family val="1"/>
      </rPr>
      <t>…………………………….……………….</t>
    </r>
  </si>
  <si>
    <r>
      <t>LECTURAS CONTADORES</t>
    </r>
    <r>
      <rPr>
        <sz val="12"/>
        <rFont val="Times New Roman"/>
        <family val="1"/>
      </rPr>
      <t>…………………….………..</t>
    </r>
  </si>
  <si>
    <r>
      <t>ADMINISTRACION Y VARIOS</t>
    </r>
    <r>
      <rPr>
        <sz val="12"/>
        <rFont val="Times New Roman"/>
        <family val="1"/>
      </rPr>
      <t>…………………….………</t>
    </r>
  </si>
  <si>
    <r>
      <t>CALEFACCION</t>
    </r>
    <r>
      <rPr>
        <sz val="12"/>
        <rFont val="Times New Roman"/>
        <family val="1"/>
      </rPr>
      <t>………………………….………………….</t>
    </r>
  </si>
  <si>
    <r>
      <t>ACS</t>
    </r>
    <r>
      <rPr>
        <sz val="12"/>
        <rFont val="Times New Roman"/>
        <family val="1"/>
      </rPr>
      <t>……………………………………...…………………</t>
    </r>
  </si>
  <si>
    <r>
      <t>ZONA CLIMATICA</t>
    </r>
    <r>
      <rPr>
        <sz val="12"/>
        <rFont val="Times New Roman"/>
        <family val="1"/>
      </rPr>
      <t>……………...……..……………..</t>
    </r>
  </si>
  <si>
    <r>
      <t>DIRECCION</t>
    </r>
    <r>
      <rPr>
        <sz val="12"/>
        <rFont val="Times New Roman"/>
        <family val="1"/>
      </rPr>
      <t>…………………………..</t>
    </r>
  </si>
  <si>
    <t>VARBL</t>
  </si>
  <si>
    <t>GAS NATURAL</t>
  </si>
  <si>
    <t>BILBAO</t>
  </si>
  <si>
    <t>PCI (kWhUNIDAD)</t>
  </si>
  <si>
    <t>kWh/kWh</t>
  </si>
  <si>
    <t>l</t>
  </si>
  <si>
    <r>
      <t>LOCALIDAD</t>
    </r>
    <r>
      <rPr>
        <sz val="12"/>
        <color indexed="9"/>
        <rFont val="Times New Roman"/>
        <family val="1"/>
      </rPr>
      <t>………………………...…………………..</t>
    </r>
  </si>
  <si>
    <r>
      <t>DIRECCION</t>
    </r>
    <r>
      <rPr>
        <sz val="12"/>
        <color indexed="8"/>
        <rFont val="Times New Roman"/>
        <family val="1"/>
      </rPr>
      <t>…………………………..</t>
    </r>
  </si>
  <si>
    <r>
      <t>LOCALIDAD</t>
    </r>
    <r>
      <rPr>
        <sz val="12"/>
        <color indexed="8"/>
        <rFont val="Times New Roman"/>
        <family val="1"/>
      </rPr>
      <t>…………………………..</t>
    </r>
  </si>
  <si>
    <r>
      <t>LOCALIDAD</t>
    </r>
    <r>
      <rPr>
        <sz val="12"/>
        <rFont val="Times New Roman"/>
        <family val="1"/>
      </rPr>
      <t>…………………………..</t>
    </r>
  </si>
  <si>
    <t>DISTRIBUCION DE COSTOS</t>
  </si>
  <si>
    <t>% CONSUMOS DE CALEFACCION</t>
  </si>
  <si>
    <t>SEVERIDAD CLIMATICA DE INVIERNO (SCI)</t>
  </si>
  <si>
    <r>
      <t>Hasta 150 m</t>
    </r>
    <r>
      <rPr>
        <b/>
        <vertAlign val="superscript"/>
        <sz val="12"/>
        <rFont val="Times New Roman"/>
        <family val="1"/>
      </rPr>
      <t>2</t>
    </r>
  </si>
  <si>
    <r>
      <t>Hasta 100 m</t>
    </r>
    <r>
      <rPr>
        <b/>
        <vertAlign val="superscript"/>
        <sz val="12"/>
        <rFont val="Times New Roman"/>
        <family val="1"/>
      </rPr>
      <t>2</t>
    </r>
  </si>
  <si>
    <r>
      <t>Mas de 150 m</t>
    </r>
    <r>
      <rPr>
        <b/>
        <vertAlign val="superscript"/>
        <sz val="12"/>
        <rFont val="Times New Roman"/>
        <family val="1"/>
      </rPr>
      <t>2</t>
    </r>
  </si>
  <si>
    <t>VIVIENDAS SIN ENERGIA SOLAR</t>
  </si>
  <si>
    <t>VIVIENDAS CON ENERGIA SOLAR</t>
  </si>
  <si>
    <r>
      <t>SUPERFICIE MEDIA VIVIENDAS</t>
    </r>
    <r>
      <rPr>
        <sz val="12"/>
        <rFont val="Times New Roman"/>
        <family val="1"/>
      </rPr>
      <t>……………….…………….</t>
    </r>
  </si>
  <si>
    <r>
      <t>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/vivienda</t>
    </r>
  </si>
  <si>
    <r>
      <t>HAY ENERGIA SOLAR</t>
    </r>
    <r>
      <rPr>
        <sz val="12"/>
        <rFont val="Times New Roman"/>
        <family val="1"/>
      </rPr>
      <t>……………….…………….</t>
    </r>
  </si>
  <si>
    <t>CIUDAD</t>
  </si>
  <si>
    <t>ZONA SOLAR</t>
  </si>
  <si>
    <t>ZONA</t>
  </si>
  <si>
    <t>Tª DISEÑO</t>
  </si>
  <si>
    <t>TEMPERATURA MEDIA (°C) 24 HORAS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</si>
  <si>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</si>
  <si>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</si>
  <si>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</si>
  <si>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</si>
  <si>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</si>
  <si>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</si>
  <si>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</si>
  <si>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</si>
  <si>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</si>
  <si>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</si>
  <si>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</si>
  <si>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</si>
  <si>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</si>
  <si>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ALBACETE</t>
  </si>
  <si>
    <t>V</t>
  </si>
  <si>
    <t>D3</t>
  </si>
  <si>
    <t>ALICANTE</t>
  </si>
  <si>
    <t>B4</t>
  </si>
  <si>
    <t>ALMERIA</t>
  </si>
  <si>
    <t>A4</t>
  </si>
  <si>
    <t>AVILA</t>
  </si>
  <si>
    <t>IV</t>
  </si>
  <si>
    <t>E1</t>
  </si>
  <si>
    <t>BADAJOZ</t>
  </si>
  <si>
    <t>C4</t>
  </si>
  <si>
    <t>BARCELONA</t>
  </si>
  <si>
    <t>II</t>
  </si>
  <si>
    <t>C2</t>
  </si>
  <si>
    <t>I</t>
  </si>
  <si>
    <t>C1</t>
  </si>
  <si>
    <t>BURGOS</t>
  </si>
  <si>
    <t>CACERES</t>
  </si>
  <si>
    <t>CADIZ</t>
  </si>
  <si>
    <t>A3</t>
  </si>
  <si>
    <t>CASTELLON</t>
  </si>
  <si>
    <t>B3</t>
  </si>
  <si>
    <t>CEUTA</t>
  </si>
  <si>
    <t>CIUDAD REAL</t>
  </si>
  <si>
    <t>CORDOBA</t>
  </si>
  <si>
    <t>CORUÑA</t>
  </si>
  <si>
    <t>CUENCA</t>
  </si>
  <si>
    <t>III</t>
  </si>
  <si>
    <t>GIRONA</t>
  </si>
  <si>
    <t>GRANADA</t>
  </si>
  <si>
    <t>C3</t>
  </si>
  <si>
    <t>GUADALAJARA</t>
  </si>
  <si>
    <t>HUELVA</t>
  </si>
  <si>
    <t>HUESCA</t>
  </si>
  <si>
    <t>D2</t>
  </si>
  <si>
    <t>JAEN</t>
  </si>
  <si>
    <t>LAS PALMAS</t>
  </si>
  <si>
    <t>LEON</t>
  </si>
  <si>
    <t>LLEIDA</t>
  </si>
  <si>
    <t>LOGROÑO</t>
  </si>
  <si>
    <t>LUGO</t>
  </si>
  <si>
    <t>D1</t>
  </si>
  <si>
    <t>MADRID</t>
  </si>
  <si>
    <t>MALAGA</t>
  </si>
  <si>
    <t>MALLORCA</t>
  </si>
  <si>
    <t>MELILLA</t>
  </si>
  <si>
    <t>MURCIA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</si>
  <si>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</si>
  <si>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</si>
  <si>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</si>
  <si>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</si>
  <si>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</si>
  <si>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</si>
  <si>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</si>
  <si>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</si>
  <si>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</si>
  <si>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</si>
  <si>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</si>
  <si>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</si>
  <si>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</si>
  <si>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</si>
  <si>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FUENTE: FICHEROS *.bin CTE</t>
  </si>
  <si>
    <r>
      <t>PROVINCIA</t>
    </r>
    <r>
      <rPr>
        <sz val="12"/>
        <rFont val="Times New Roman"/>
        <family val="1"/>
      </rPr>
      <t>……………...……..……………..</t>
    </r>
  </si>
  <si>
    <t>VIZCAYA</t>
  </si>
  <si>
    <t>ASTURIAS</t>
  </si>
  <si>
    <t>NAVARRA</t>
  </si>
  <si>
    <t>GIPUZCOA</t>
  </si>
  <si>
    <t>CANTABRIA</t>
  </si>
  <si>
    <t>ALAVA</t>
  </si>
  <si>
    <r>
      <t>Tª CONSUMO ACS</t>
    </r>
    <r>
      <rPr>
        <sz val="12"/>
        <rFont val="Times New Roman"/>
        <family val="1"/>
      </rPr>
      <t>………………….…………..</t>
    </r>
  </si>
  <si>
    <t>°C</t>
  </si>
  <si>
    <r>
      <t>Tª MEDIA AGUA RED</t>
    </r>
    <r>
      <rPr>
        <sz val="12"/>
        <rFont val="Times New Roman"/>
        <family val="1"/>
      </rPr>
      <t>………………………………..</t>
    </r>
  </si>
  <si>
    <t>Tª AFCH</t>
  </si>
  <si>
    <r>
      <t>ENERGIA SOLAR PARA ACS</t>
    </r>
    <r>
      <rPr>
        <sz val="12"/>
        <color indexed="9"/>
        <rFont val="Times New Roman"/>
        <family val="1"/>
      </rPr>
      <t>……………………….………………</t>
    </r>
  </si>
  <si>
    <t>SCI</t>
  </si>
  <si>
    <t>VRBL</t>
  </si>
  <si>
    <r>
      <t>CONTADOR ENERGIA SOLAR</t>
    </r>
    <r>
      <rPr>
        <sz val="12"/>
        <rFont val="Times New Roman"/>
        <family val="1"/>
      </rPr>
      <t>…………………...……..</t>
    </r>
  </si>
  <si>
    <t>ENERGIA SOLAR TERMICA</t>
  </si>
  <si>
    <r>
      <t>ENERGIA SOLAR</t>
    </r>
    <r>
      <rPr>
        <sz val="12"/>
        <rFont val="Times New Roman"/>
        <family val="1"/>
      </rPr>
      <t>…………..</t>
    </r>
  </si>
  <si>
    <t>APORTE ENERGIA SOLAR</t>
  </si>
  <si>
    <r>
      <t>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)……………………………….</t>
    </r>
  </si>
  <si>
    <r>
      <t>VARIABLE (</t>
    </r>
    <r>
      <rPr>
        <b/>
        <sz val="12"/>
        <rFont val="Times New Roman"/>
        <family val="1"/>
      </rPr>
      <t>c€/kWh</t>
    </r>
    <r>
      <rPr>
        <sz val="12"/>
        <rFont val="Times New Roman"/>
        <family val="1"/>
      </rPr>
      <t>)…………………………..</t>
    </r>
  </si>
  <si>
    <r>
      <t>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)…………………………………</t>
    </r>
  </si>
  <si>
    <r>
      <t>VARIABLE (</t>
    </r>
    <r>
      <rPr>
        <b/>
        <sz val="12"/>
        <rFont val="Times New Roman"/>
        <family val="1"/>
      </rPr>
      <t>€/m</t>
    </r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)…………………………..</t>
    </r>
  </si>
  <si>
    <r>
      <t>FIJO MES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</si>
  <si>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r>
      <t>TOTAL MES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</si>
  <si>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t>COSTO SERVICIO CALEFACCION</t>
  </si>
  <si>
    <t>COSTO SERVICIO ACS</t>
  </si>
  <si>
    <t>COSTOS PROMEDIO VIVIENDA ANUALES</t>
  </si>
  <si>
    <t>COSTOS PROMEDIO VIVIENDA MENSUALES</t>
  </si>
  <si>
    <t>- INSTALACION + SOLAR</t>
  </si>
  <si>
    <t>SERVICIO</t>
  </si>
  <si>
    <t>SUPERFICIE MEDIA VIVIENDAS……………………...……..</t>
  </si>
  <si>
    <t>ZONA SEVERIDAD CLIMATICA………………………...…………………..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</si>
</sst>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[$-C0A]dddd\,\ dd&quot; de &quot;mmmm&quot; de &quot;yyyy"/>
    <numFmt numFmtId="174" formatCode="dd\-mm\-yy;@"/>
    <numFmt numFmtId="175" formatCode="#,##0.0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&quot;€&quot;;\-#,##0&quot;€&quot;"/>
    <numFmt numFmtId="190" formatCode="#,##0&quot;€&quot;;[Red]\-#,##0&quot;€&quot;"/>
    <numFmt numFmtId="191" formatCode="#,##0.00&quot;€&quot;;\-#,##0.00&quot;€&quot;"/>
    <numFmt numFmtId="192" formatCode="#,##0.00&quot;€&quot;;[Red]\-#,##0.00&quot;€&quot;"/>
    <numFmt numFmtId="193" formatCode="_-* #,##0&quot;€&quot;_-;\-* #,##0&quot;€&quot;_-;_-* &quot;-&quot;&quot;€&quot;_-;_-@_-"/>
    <numFmt numFmtId="194" formatCode="_-* #,##0_€_-;\-* #,##0_€_-;_-* &quot;-&quot;_€_-;_-@_-"/>
    <numFmt numFmtId="195" formatCode="_-* #,##0.00&quot;€&quot;_-;\-* #,##0.00&quot;€&quot;_-;_-* &quot;-&quot;??&quot;€&quot;_-;_-@_-"/>
    <numFmt numFmtId="196" formatCode="_-* #,##0.00_€_-;\-* #,##0.00_€_-;_-* &quot;-&quot;??_€_-;_-@_-"/>
    <numFmt numFmtId="197" formatCode="0.000"/>
    <numFmt numFmtId="198" formatCode="0.0000"/>
    <numFmt numFmtId="199" formatCode="General_)"/>
    <numFmt numFmtId="200" formatCode="0.0_)"/>
    <numFmt numFmtId="201" formatCode="0.000_)"/>
    <numFmt numFmtId="202" formatCode="0.00_)"/>
    <numFmt numFmtId="203" formatCode="0_)"/>
    <numFmt numFmtId="204" formatCode=";;;"/>
    <numFmt numFmtId="205" formatCode="0.00000000"/>
    <numFmt numFmtId="206" formatCode="0.0000000"/>
    <numFmt numFmtId="207" formatCode="0.000000"/>
    <numFmt numFmtId="208" formatCode="0.00000"/>
    <numFmt numFmtId="209" formatCode="#,##0.0000"/>
    <numFmt numFmtId="210" formatCode="#,##0.00000"/>
    <numFmt numFmtId="211" formatCode="#,##0.000000"/>
    <numFmt numFmtId="212" formatCode="#,##0.0\ _€;\-#,##0.0\ _€"/>
    <numFmt numFmtId="213" formatCode="0.000000000"/>
    <numFmt numFmtId="214" formatCode="0.0%"/>
    <numFmt numFmtId="215" formatCode="_-* #,##0.0\ &quot;€&quot;_-;\-* #,##0.0\ &quot;€&quot;_-;_-* &quot;-&quot;??\ &quot;€&quot;_-;_-@_-"/>
    <numFmt numFmtId="216" formatCode="_-* #,##0\ &quot;€&quot;_-;\-* #,##0\ &quot;€&quot;_-;_-* &quot;-&quot;??\ &quot;€&quot;_-;_-@_-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47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0"/>
    </font>
    <font>
      <b/>
      <vertAlign val="sub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4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41"/>
      <name val="Times New Roman"/>
      <family val="1"/>
    </font>
    <font>
      <b/>
      <sz val="12"/>
      <color indexed="41"/>
      <name val="Times New Roman"/>
      <family val="1"/>
    </font>
    <font>
      <b/>
      <sz val="12"/>
      <color indexed="47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42"/>
      <name val="Times New Roman"/>
      <family val="1"/>
    </font>
    <font>
      <b/>
      <sz val="14"/>
      <color indexed="9"/>
      <name val="Times New Roman"/>
      <family val="1"/>
    </font>
    <font>
      <b/>
      <vertAlign val="superscript"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3"/>
      <name val="Times New Roman"/>
      <family val="1"/>
    </font>
    <font>
      <sz val="8"/>
      <name val="Arial"/>
      <family val="0"/>
    </font>
    <font>
      <b/>
      <sz val="10"/>
      <color indexed="41"/>
      <name val="Times New Roman"/>
      <family val="1"/>
    </font>
    <font>
      <b/>
      <sz val="14"/>
      <color indexed="43"/>
      <name val="Times New Roman"/>
      <family val="1"/>
    </font>
    <font>
      <sz val="12"/>
      <color indexed="47"/>
      <name val="Times New Roman"/>
      <family val="1"/>
    </font>
    <font>
      <b/>
      <sz val="1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9" fontId="10" fillId="4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horizontal="right" vertical="center"/>
    </xf>
    <xf numFmtId="3" fontId="5" fillId="5" borderId="7" xfId="0" applyNumberFormat="1" applyFont="1" applyFill="1" applyBorder="1" applyAlignment="1">
      <alignment horizontal="left" vertical="center"/>
    </xf>
    <xf numFmtId="3" fontId="4" fillId="5" borderId="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left" vertical="center"/>
    </xf>
    <xf numFmtId="3" fontId="4" fillId="6" borderId="5" xfId="0" applyNumberFormat="1" applyFont="1" applyFill="1" applyBorder="1" applyAlignment="1">
      <alignment horizontal="left" vertical="center"/>
    </xf>
    <xf numFmtId="14" fontId="5" fillId="6" borderId="7" xfId="0" applyNumberFormat="1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3" fontId="5" fillId="3" borderId="9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14" fontId="5" fillId="6" borderId="11" xfId="0" applyNumberFormat="1" applyFont="1" applyFill="1" applyBorder="1" applyAlignment="1">
      <alignment horizontal="left" vertical="center"/>
    </xf>
    <xf numFmtId="3" fontId="4" fillId="6" borderId="12" xfId="0" applyNumberFormat="1" applyFont="1" applyFill="1" applyBorder="1" applyAlignment="1">
      <alignment horizontal="right" vertical="center"/>
    </xf>
    <xf numFmtId="14" fontId="5" fillId="6" borderId="13" xfId="0" applyNumberFormat="1" applyFont="1" applyFill="1" applyBorder="1" applyAlignment="1">
      <alignment horizontal="left" vertical="center"/>
    </xf>
    <xf numFmtId="14" fontId="22" fillId="7" borderId="5" xfId="0" applyNumberFormat="1" applyFont="1" applyFill="1" applyBorder="1" applyAlignment="1">
      <alignment horizontal="left" vertical="center"/>
    </xf>
    <xf numFmtId="3" fontId="22" fillId="7" borderId="6" xfId="0" applyNumberFormat="1" applyFont="1" applyFill="1" applyBorder="1" applyAlignment="1">
      <alignment horizontal="right" vertical="center"/>
    </xf>
    <xf numFmtId="14" fontId="21" fillId="7" borderId="7" xfId="0" applyNumberFormat="1" applyFont="1" applyFill="1" applyBorder="1" applyAlignment="1">
      <alignment horizontal="left" vertical="center"/>
    </xf>
    <xf numFmtId="14" fontId="18" fillId="8" borderId="5" xfId="0" applyNumberFormat="1" applyFont="1" applyFill="1" applyBorder="1" applyAlignment="1">
      <alignment horizontal="left" vertical="center"/>
    </xf>
    <xf numFmtId="3" fontId="18" fillId="8" borderId="6" xfId="0" applyNumberFormat="1" applyFont="1" applyFill="1" applyBorder="1" applyAlignment="1">
      <alignment horizontal="right" vertical="center"/>
    </xf>
    <xf numFmtId="3" fontId="25" fillId="8" borderId="7" xfId="0" applyNumberFormat="1" applyFont="1" applyFill="1" applyBorder="1" applyAlignment="1">
      <alignment horizontal="left" vertical="center"/>
    </xf>
    <xf numFmtId="3" fontId="10" fillId="3" borderId="6" xfId="0" applyNumberFormat="1" applyFont="1" applyFill="1" applyBorder="1" applyAlignment="1">
      <alignment horizontal="right" vertical="center"/>
    </xf>
    <xf numFmtId="9" fontId="5" fillId="4" borderId="14" xfId="0" applyNumberFormat="1" applyFont="1" applyFill="1" applyBorder="1" applyAlignment="1" quotePrefix="1">
      <alignment horizontal="right" vertical="center"/>
    </xf>
    <xf numFmtId="9" fontId="5" fillId="4" borderId="15" xfId="0" applyNumberFormat="1" applyFont="1" applyFill="1" applyBorder="1" applyAlignment="1" quotePrefix="1">
      <alignment horizontal="right" vertical="center"/>
    </xf>
    <xf numFmtId="3" fontId="5" fillId="4" borderId="6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vertical="center"/>
    </xf>
    <xf numFmtId="14" fontId="18" fillId="8" borderId="5" xfId="0" applyNumberFormat="1" applyFont="1" applyFill="1" applyBorder="1" applyAlignment="1">
      <alignment vertical="center"/>
    </xf>
    <xf numFmtId="14" fontId="18" fillId="8" borderId="6" xfId="0" applyNumberFormat="1" applyFont="1" applyFill="1" applyBorder="1" applyAlignment="1">
      <alignment vertical="center"/>
    </xf>
    <xf numFmtId="0" fontId="22" fillId="7" borderId="6" xfId="0" applyFont="1" applyFill="1" applyBorder="1" applyAlignment="1">
      <alignment vertical="center"/>
    </xf>
    <xf numFmtId="14" fontId="4" fillId="3" borderId="5" xfId="0" applyNumberFormat="1" applyFont="1" applyFill="1" applyBorder="1" applyAlignment="1">
      <alignment horizontal="left" vertical="center"/>
    </xf>
    <xf numFmtId="3" fontId="4" fillId="6" borderId="5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9" fontId="19" fillId="9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3" fontId="19" fillId="10" borderId="1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14" fontId="19" fillId="9" borderId="1" xfId="0" applyNumberFormat="1" applyFont="1" applyFill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/>
    </xf>
    <xf numFmtId="9" fontId="19" fillId="10" borderId="1" xfId="0" applyNumberFormat="1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9" fontId="20" fillId="10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left" vertical="center"/>
    </xf>
    <xf numFmtId="9" fontId="4" fillId="3" borderId="16" xfId="0" applyNumberFormat="1" applyFont="1" applyFill="1" applyBorder="1" applyAlignment="1">
      <alignment horizontal="left" vertical="center"/>
    </xf>
    <xf numFmtId="14" fontId="5" fillId="3" borderId="17" xfId="0" applyNumberFormat="1" applyFont="1" applyFill="1" applyBorder="1" applyAlignment="1" quotePrefix="1">
      <alignment horizontal="left" vertical="center"/>
    </xf>
    <xf numFmtId="14" fontId="5" fillId="3" borderId="18" xfId="0" applyNumberFormat="1" applyFont="1" applyFill="1" applyBorder="1" applyAlignment="1" quotePrefix="1">
      <alignment horizontal="left" vertical="center"/>
    </xf>
    <xf numFmtId="3" fontId="10" fillId="4" borderId="19" xfId="0" applyNumberFormat="1" applyFont="1" applyFill="1" applyBorder="1" applyAlignment="1">
      <alignment horizontal="center" vertical="center"/>
    </xf>
    <xf numFmtId="9" fontId="10" fillId="4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3" fontId="6" fillId="4" borderId="21" xfId="0" applyNumberFormat="1" applyFont="1" applyFill="1" applyBorder="1" applyAlignment="1">
      <alignment horizontal="center" vertical="center"/>
    </xf>
    <xf numFmtId="4" fontId="6" fillId="4" borderId="2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left" vertical="center"/>
    </xf>
    <xf numFmtId="3" fontId="5" fillId="5" borderId="6" xfId="0" applyNumberFormat="1" applyFont="1" applyFill="1" applyBorder="1" applyAlignment="1">
      <alignment horizontal="left" vertical="center"/>
    </xf>
    <xf numFmtId="3" fontId="25" fillId="8" borderId="6" xfId="0" applyNumberFormat="1" applyFont="1" applyFill="1" applyBorder="1" applyAlignment="1">
      <alignment horizontal="left" vertical="center"/>
    </xf>
    <xf numFmtId="14" fontId="5" fillId="6" borderId="6" xfId="0" applyNumberFormat="1" applyFont="1" applyFill="1" applyBorder="1" applyAlignment="1">
      <alignment horizontal="left" vertical="center"/>
    </xf>
    <xf numFmtId="14" fontId="19" fillId="9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left" vertical="center"/>
    </xf>
    <xf numFmtId="14" fontId="4" fillId="3" borderId="22" xfId="0" applyNumberFormat="1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3" fontId="12" fillId="4" borderId="6" xfId="0" applyNumberFormat="1" applyFont="1" applyFill="1" applyBorder="1" applyAlignment="1">
      <alignment vertical="center"/>
    </xf>
    <xf numFmtId="3" fontId="14" fillId="4" borderId="6" xfId="0" applyNumberFormat="1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vertical="center"/>
    </xf>
    <xf numFmtId="0" fontId="19" fillId="9" borderId="0" xfId="0" applyFont="1" applyFill="1" applyAlignment="1">
      <alignment horizontal="center" vertical="center"/>
    </xf>
    <xf numFmtId="175" fontId="22" fillId="7" borderId="1" xfId="0" applyNumberFormat="1" applyFont="1" applyFill="1" applyBorder="1" applyAlignment="1">
      <alignment horizontal="left" vertical="center"/>
    </xf>
    <xf numFmtId="175" fontId="22" fillId="7" borderId="1" xfId="0" applyNumberFormat="1" applyFont="1" applyFill="1" applyBorder="1" applyAlignment="1">
      <alignment horizontal="center" vertical="center"/>
    </xf>
    <xf numFmtId="175" fontId="21" fillId="7" borderId="1" xfId="0" applyNumberFormat="1" applyFont="1" applyFill="1" applyBorder="1" applyAlignment="1">
      <alignment horizontal="center" vertical="center"/>
    </xf>
    <xf numFmtId="175" fontId="5" fillId="0" borderId="0" xfId="0" applyNumberFormat="1" applyFont="1" applyAlignment="1">
      <alignment horizontal="center" vertical="center"/>
    </xf>
    <xf numFmtId="175" fontId="32" fillId="7" borderId="23" xfId="0" applyNumberFormat="1" applyFont="1" applyFill="1" applyBorder="1" applyAlignment="1">
      <alignment horizontal="center" vertical="center"/>
    </xf>
    <xf numFmtId="175" fontId="32" fillId="7" borderId="24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10" fillId="0" borderId="1" xfId="0" applyNumberFormat="1" applyFont="1" applyFill="1" applyBorder="1" applyAlignment="1">
      <alignment horizontal="center" vertical="center"/>
    </xf>
    <xf numFmtId="175" fontId="14" fillId="0" borderId="1" xfId="0" applyNumberFormat="1" applyFont="1" applyBorder="1" applyAlignment="1">
      <alignment horizontal="center" vertical="center" wrapText="1"/>
    </xf>
    <xf numFmtId="175" fontId="10" fillId="11" borderId="1" xfId="0" applyNumberFormat="1" applyFont="1" applyFill="1" applyBorder="1" applyAlignment="1">
      <alignment horizontal="center" vertical="center"/>
    </xf>
    <xf numFmtId="175" fontId="14" fillId="11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/>
    </xf>
    <xf numFmtId="175" fontId="5" fillId="11" borderId="1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3" fontId="10" fillId="3" borderId="7" xfId="0" applyNumberFormat="1" applyFont="1" applyFill="1" applyBorder="1" applyAlignment="1">
      <alignment horizontal="left" vertical="center"/>
    </xf>
    <xf numFmtId="175" fontId="10" fillId="3" borderId="6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9" fontId="4" fillId="3" borderId="25" xfId="0" applyNumberFormat="1" applyFont="1" applyFill="1" applyBorder="1" applyAlignment="1">
      <alignment horizontal="center" vertical="center"/>
    </xf>
    <xf numFmtId="3" fontId="30" fillId="9" borderId="0" xfId="0" applyNumberFormat="1" applyFont="1" applyFill="1" applyAlignment="1">
      <alignment horizontal="center" vertical="center"/>
    </xf>
    <xf numFmtId="9" fontId="30" fillId="9" borderId="1" xfId="0" applyNumberFormat="1" applyFont="1" applyFill="1" applyBorder="1" applyAlignment="1">
      <alignment horizontal="center" vertical="center"/>
    </xf>
    <xf numFmtId="14" fontId="30" fillId="9" borderId="1" xfId="0" applyNumberFormat="1" applyFont="1" applyFill="1" applyBorder="1" applyAlignment="1">
      <alignment horizontal="center" vertical="center"/>
    </xf>
    <xf numFmtId="9" fontId="30" fillId="10" borderId="1" xfId="0" applyNumberFormat="1" applyFont="1" applyFill="1" applyBorder="1" applyAlignment="1">
      <alignment horizontal="center" vertical="center"/>
    </xf>
    <xf numFmtId="14" fontId="33" fillId="10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14" fontId="4" fillId="3" borderId="26" xfId="0" applyNumberFormat="1" applyFont="1" applyFill="1" applyBorder="1" applyAlignment="1">
      <alignment horizontal="left" vertical="center"/>
    </xf>
    <xf numFmtId="14" fontId="4" fillId="3" borderId="27" xfId="0" applyNumberFormat="1" applyFont="1" applyFill="1" applyBorder="1" applyAlignment="1">
      <alignment horizontal="left" vertical="center"/>
    </xf>
    <xf numFmtId="14" fontId="4" fillId="3" borderId="14" xfId="0" applyNumberFormat="1" applyFont="1" applyFill="1" applyBorder="1" applyAlignment="1">
      <alignment horizontal="left" vertical="center"/>
    </xf>
    <xf numFmtId="14" fontId="5" fillId="3" borderId="6" xfId="0" applyNumberFormat="1" applyFont="1" applyFill="1" applyBorder="1" applyAlignment="1">
      <alignment horizontal="left" vertical="center"/>
    </xf>
    <xf numFmtId="9" fontId="5" fillId="4" borderId="14" xfId="0" applyNumberFormat="1" applyFont="1" applyFill="1" applyBorder="1" applyAlignment="1">
      <alignment horizontal="left" vertical="center"/>
    </xf>
    <xf numFmtId="4" fontId="6" fillId="4" borderId="28" xfId="0" applyNumberFormat="1" applyFont="1" applyFill="1" applyBorder="1" applyAlignment="1">
      <alignment horizontal="center" vertical="center"/>
    </xf>
    <xf numFmtId="9" fontId="5" fillId="4" borderId="27" xfId="0" applyNumberFormat="1" applyFont="1" applyFill="1" applyBorder="1" applyAlignment="1">
      <alignment horizontal="left" vertical="center"/>
    </xf>
    <xf numFmtId="3" fontId="6" fillId="4" borderId="29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9" fontId="5" fillId="4" borderId="31" xfId="0" applyNumberFormat="1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3" fontId="34" fillId="9" borderId="1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14" fontId="5" fillId="3" borderId="34" xfId="0" applyNumberFormat="1" applyFont="1" applyFill="1" applyBorder="1" applyAlignment="1" quotePrefix="1">
      <alignment horizontal="left" vertical="center"/>
    </xf>
    <xf numFmtId="3" fontId="10" fillId="4" borderId="23" xfId="0" applyNumberFormat="1" applyFont="1" applyFill="1" applyBorder="1" applyAlignment="1">
      <alignment horizontal="center" vertical="center"/>
    </xf>
    <xf numFmtId="9" fontId="10" fillId="4" borderId="35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left" vertical="center"/>
    </xf>
    <xf numFmtId="9" fontId="10" fillId="3" borderId="2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14" fontId="35" fillId="3" borderId="1" xfId="0" applyNumberFormat="1" applyFont="1" applyFill="1" applyBorder="1" applyAlignment="1">
      <alignment horizontal="center" vertical="center"/>
    </xf>
    <xf numFmtId="214" fontId="4" fillId="3" borderId="1" xfId="0" applyNumberFormat="1" applyFont="1" applyFill="1" applyBorder="1" applyAlignment="1">
      <alignment horizontal="center" vertical="center"/>
    </xf>
    <xf numFmtId="3" fontId="19" fillId="9" borderId="7" xfId="0" applyNumberFormat="1" applyFont="1" applyFill="1" applyBorder="1" applyAlignment="1">
      <alignment horizontal="center" vertical="center"/>
    </xf>
    <xf numFmtId="214" fontId="19" fillId="9" borderId="1" xfId="0" applyNumberFormat="1" applyFont="1" applyFill="1" applyBorder="1" applyAlignment="1">
      <alignment horizontal="center" vertical="center"/>
    </xf>
    <xf numFmtId="175" fontId="4" fillId="0" borderId="36" xfId="0" applyNumberFormat="1" applyFont="1" applyBorder="1" applyAlignment="1">
      <alignment horizontal="center" vertical="center"/>
    </xf>
    <xf numFmtId="175" fontId="4" fillId="0" borderId="37" xfId="0" applyNumberFormat="1" applyFont="1" applyBorder="1" applyAlignment="1">
      <alignment horizontal="center" vertical="center"/>
    </xf>
    <xf numFmtId="14" fontId="23" fillId="12" borderId="7" xfId="0" applyNumberFormat="1" applyFont="1" applyFill="1" applyBorder="1" applyAlignment="1">
      <alignment horizontal="left" vertical="center"/>
    </xf>
    <xf numFmtId="14" fontId="18" fillId="8" borderId="22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14" fontId="23" fillId="12" borderId="5" xfId="0" applyNumberFormat="1" applyFont="1" applyFill="1" applyBorder="1" applyAlignment="1">
      <alignment horizontal="left" vertical="center"/>
    </xf>
    <xf numFmtId="14" fontId="23" fillId="12" borderId="6" xfId="0" applyNumberFormat="1" applyFont="1" applyFill="1" applyBorder="1" applyAlignment="1">
      <alignment horizontal="left" vertical="center"/>
    </xf>
    <xf numFmtId="0" fontId="30" fillId="12" borderId="6" xfId="0" applyFont="1" applyFill="1" applyBorder="1" applyAlignment="1">
      <alignment horizontal="left" vertical="center"/>
    </xf>
    <xf numFmtId="14" fontId="12" fillId="4" borderId="6" xfId="0" applyNumberFormat="1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4" fontId="18" fillId="8" borderId="12" xfId="0" applyNumberFormat="1" applyFont="1" applyFill="1" applyBorder="1" applyAlignment="1">
      <alignment horizontal="center" vertical="center"/>
    </xf>
    <xf numFmtId="14" fontId="18" fillId="8" borderId="38" xfId="0" applyNumberFormat="1" applyFont="1" applyFill="1" applyBorder="1" applyAlignment="1">
      <alignment horizontal="center" vertical="center"/>
    </xf>
    <xf numFmtId="14" fontId="18" fillId="8" borderId="1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0" fontId="22" fillId="7" borderId="7" xfId="0" applyFont="1" applyFill="1" applyBorder="1" applyAlignment="1">
      <alignment horizontal="lef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4" fillId="3" borderId="6" xfId="0" applyNumberFormat="1" applyFont="1" applyFill="1" applyBorder="1" applyAlignment="1">
      <alignment horizontal="left" vertical="center"/>
    </xf>
    <xf numFmtId="3" fontId="14" fillId="3" borderId="7" xfId="0" applyNumberFormat="1" applyFont="1" applyFill="1" applyBorder="1" applyAlignment="1">
      <alignment horizontal="left" vertical="center"/>
    </xf>
    <xf numFmtId="14" fontId="19" fillId="9" borderId="5" xfId="0" applyNumberFormat="1" applyFont="1" applyFill="1" applyBorder="1" applyAlignment="1">
      <alignment horizontal="left" vertical="center"/>
    </xf>
    <xf numFmtId="14" fontId="19" fillId="9" borderId="6" xfId="0" applyNumberFormat="1" applyFont="1" applyFill="1" applyBorder="1" applyAlignment="1">
      <alignment horizontal="left" vertical="center"/>
    </xf>
    <xf numFmtId="14" fontId="19" fillId="9" borderId="5" xfId="0" applyNumberFormat="1" applyFont="1" applyFill="1" applyBorder="1" applyAlignment="1">
      <alignment horizontal="center" vertical="center"/>
    </xf>
    <xf numFmtId="14" fontId="19" fillId="9" borderId="6" xfId="0" applyNumberFormat="1" applyFont="1" applyFill="1" applyBorder="1" applyAlignment="1">
      <alignment horizontal="center" vertical="center"/>
    </xf>
    <xf numFmtId="14" fontId="19" fillId="9" borderId="7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4" fontId="26" fillId="9" borderId="1" xfId="0" applyNumberFormat="1" applyFont="1" applyFill="1" applyBorder="1" applyAlignment="1">
      <alignment horizontal="left" vertical="center"/>
    </xf>
    <xf numFmtId="3" fontId="19" fillId="10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19" fillId="9" borderId="22" xfId="0" applyNumberFormat="1" applyFont="1" applyFill="1" applyBorder="1" applyAlignment="1">
      <alignment horizontal="center" vertical="center"/>
    </xf>
    <xf numFmtId="3" fontId="19" fillId="9" borderId="13" xfId="0" applyNumberFormat="1" applyFont="1" applyFill="1" applyBorder="1" applyAlignment="1">
      <alignment horizontal="center" vertical="center"/>
    </xf>
    <xf numFmtId="3" fontId="19" fillId="9" borderId="8" xfId="0" applyNumberFormat="1" applyFont="1" applyFill="1" applyBorder="1" applyAlignment="1">
      <alignment horizontal="center" vertical="center"/>
    </xf>
    <xf numFmtId="3" fontId="19" fillId="9" borderId="9" xfId="0" applyNumberFormat="1" applyFont="1" applyFill="1" applyBorder="1" applyAlignment="1">
      <alignment horizontal="center" vertical="center"/>
    </xf>
    <xf numFmtId="3" fontId="19" fillId="9" borderId="38" xfId="0" applyNumberFormat="1" applyFont="1" applyFill="1" applyBorder="1" applyAlignment="1">
      <alignment horizontal="center" vertical="center"/>
    </xf>
    <xf numFmtId="3" fontId="19" fillId="9" borderId="1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14" fontId="7" fillId="12" borderId="5" xfId="0" applyNumberFormat="1" applyFont="1" applyFill="1" applyBorder="1" applyAlignment="1">
      <alignment horizontal="center" vertical="center"/>
    </xf>
    <xf numFmtId="14" fontId="7" fillId="12" borderId="6" xfId="0" applyNumberFormat="1" applyFont="1" applyFill="1" applyBorder="1" applyAlignment="1">
      <alignment horizontal="center" vertical="center"/>
    </xf>
    <xf numFmtId="14" fontId="7" fillId="12" borderId="7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9" fontId="23" fillId="9" borderId="33" xfId="0" applyNumberFormat="1" applyFont="1" applyFill="1" applyBorder="1" applyAlignment="1">
      <alignment horizontal="center" vertical="center"/>
    </xf>
    <xf numFmtId="9" fontId="23" fillId="9" borderId="40" xfId="0" applyNumberFormat="1" applyFont="1" applyFill="1" applyBorder="1" applyAlignment="1">
      <alignment horizontal="center" vertical="center"/>
    </xf>
    <xf numFmtId="9" fontId="23" fillId="9" borderId="30" xfId="0" applyNumberFormat="1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9" fontId="4" fillId="3" borderId="26" xfId="0" applyNumberFormat="1" applyFont="1" applyFill="1" applyBorder="1" applyAlignment="1">
      <alignment horizontal="left" vertical="center"/>
    </xf>
    <xf numFmtId="9" fontId="4" fillId="3" borderId="32" xfId="0" applyNumberFormat="1" applyFont="1" applyFill="1" applyBorder="1" applyAlignment="1">
      <alignment horizontal="left" vertical="center"/>
    </xf>
    <xf numFmtId="3" fontId="5" fillId="4" borderId="39" xfId="0" applyNumberFormat="1" applyFont="1" applyFill="1" applyBorder="1" applyAlignment="1">
      <alignment horizontal="center" vertical="center"/>
    </xf>
    <xf numFmtId="3" fontId="5" fillId="4" borderId="37" xfId="0" applyNumberFormat="1" applyFont="1" applyFill="1" applyBorder="1" applyAlignment="1">
      <alignment horizontal="center" vertical="center"/>
    </xf>
    <xf numFmtId="14" fontId="19" fillId="1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4" fontId="30" fillId="7" borderId="5" xfId="0" applyNumberFormat="1" applyFont="1" applyFill="1" applyBorder="1" applyAlignment="1">
      <alignment horizontal="center" vertical="center"/>
    </xf>
    <xf numFmtId="14" fontId="30" fillId="7" borderId="6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75" fontId="22" fillId="7" borderId="1" xfId="0" applyNumberFormat="1" applyFont="1" applyFill="1" applyBorder="1" applyAlignment="1">
      <alignment horizontal="left" vertical="center"/>
    </xf>
    <xf numFmtId="175" fontId="22" fillId="7" borderId="5" xfId="0" applyNumberFormat="1" applyFont="1" applyFill="1" applyBorder="1" applyAlignment="1">
      <alignment horizontal="center" vertical="center"/>
    </xf>
    <xf numFmtId="175" fontId="22" fillId="7" borderId="6" xfId="0" applyNumberFormat="1" applyFont="1" applyFill="1" applyBorder="1" applyAlignment="1">
      <alignment horizontal="center" vertical="center"/>
    </xf>
    <xf numFmtId="175" fontId="22" fillId="7" borderId="7" xfId="0" applyNumberFormat="1" applyFont="1" applyFill="1" applyBorder="1" applyAlignment="1">
      <alignment horizontal="center" vertical="center"/>
    </xf>
    <xf numFmtId="175" fontId="32" fillId="7" borderId="23" xfId="0" applyNumberFormat="1" applyFont="1" applyFill="1" applyBorder="1" applyAlignment="1">
      <alignment horizontal="center" vertical="center"/>
    </xf>
    <xf numFmtId="175" fontId="32" fillId="7" borderId="24" xfId="0" applyNumberFormat="1" applyFont="1" applyFill="1" applyBorder="1" applyAlignment="1">
      <alignment horizontal="center" vertical="center"/>
    </xf>
    <xf numFmtId="175" fontId="22" fillId="7" borderId="23" xfId="0" applyNumberFormat="1" applyFont="1" applyFill="1" applyBorder="1" applyAlignment="1">
      <alignment horizontal="center" vertical="center" wrapText="1"/>
    </xf>
    <xf numFmtId="175" fontId="22" fillId="7" borderId="24" xfId="0" applyNumberFormat="1" applyFont="1" applyFill="1" applyBorder="1" applyAlignment="1">
      <alignment horizontal="center" vertical="center" wrapText="1"/>
    </xf>
    <xf numFmtId="175" fontId="22" fillId="7" borderId="23" xfId="0" applyNumberFormat="1" applyFont="1" applyFill="1" applyBorder="1" applyAlignment="1">
      <alignment horizontal="left" vertical="center"/>
    </xf>
    <xf numFmtId="175" fontId="22" fillId="7" borderId="24" xfId="0" applyNumberFormat="1" applyFont="1" applyFill="1" applyBorder="1" applyAlignment="1">
      <alignment horizontal="left" vertical="center"/>
    </xf>
    <xf numFmtId="175" fontId="32" fillId="7" borderId="23" xfId="0" applyNumberFormat="1" applyFont="1" applyFill="1" applyBorder="1" applyAlignment="1">
      <alignment horizontal="center" vertical="center" wrapText="1"/>
    </xf>
    <xf numFmtId="175" fontId="32" fillId="7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9" sqref="D29"/>
    </sheetView>
  </sheetViews>
  <sheetFormatPr defaultColWidth="11.421875" defaultRowHeight="19.5" customHeight="1"/>
  <cols>
    <col min="1" max="1" width="40.7109375" style="1" customWidth="1"/>
    <col min="2" max="2" width="20.7109375" style="3" customWidth="1"/>
    <col min="3" max="3" width="20.7109375" style="2" customWidth="1"/>
    <col min="4" max="4" width="6.7109375" style="2" customWidth="1"/>
    <col min="5" max="5" width="10.7109375" style="3" customWidth="1"/>
    <col min="6" max="7" width="15.7109375" style="2" customWidth="1"/>
    <col min="8" max="8" width="15.7109375" style="4" customWidth="1"/>
    <col min="9" max="9" width="15.7109375" style="3" customWidth="1"/>
    <col min="10" max="10" width="15.7109375" style="2" customWidth="1"/>
    <col min="11" max="12" width="15.7109375" style="5" customWidth="1"/>
    <col min="13" max="13" width="15.7109375" style="2" customWidth="1"/>
    <col min="14" max="16384" width="15.7109375" style="5" customWidth="1"/>
  </cols>
  <sheetData>
    <row r="1" spans="1:4" ht="19.5" customHeight="1">
      <c r="A1" s="53" t="s">
        <v>73</v>
      </c>
      <c r="B1" s="158" t="s">
        <v>40</v>
      </c>
      <c r="C1" s="159"/>
      <c r="D1" s="57"/>
    </row>
    <row r="2" spans="1:4" ht="19.5" customHeight="1">
      <c r="A2" s="53" t="s">
        <v>192</v>
      </c>
      <c r="B2" s="153" t="s">
        <v>92</v>
      </c>
      <c r="C2" s="154"/>
      <c r="D2" s="57"/>
    </row>
    <row r="3" spans="1:4" ht="19.5" customHeight="1">
      <c r="A3" s="53" t="s">
        <v>192</v>
      </c>
      <c r="B3" s="160" t="str">
        <f>LOOKUP(D3,CIUDADES!A4:A54,CIUDADES!B4:B54)</f>
        <v>VIZCAYA</v>
      </c>
      <c r="C3" s="161"/>
      <c r="D3" s="61">
        <v>49</v>
      </c>
    </row>
    <row r="4" spans="1:4" ht="19.5" customHeight="1">
      <c r="A4" s="53" t="s">
        <v>88</v>
      </c>
      <c r="B4" s="160" t="str">
        <f>LOOKUP(D3,CIUDADES!A4:A54,CIUDADES!D4:D54)</f>
        <v>C</v>
      </c>
      <c r="C4" s="161"/>
      <c r="D4" s="57"/>
    </row>
    <row r="5" spans="1:4" ht="19.5" customHeight="1">
      <c r="A5" s="53" t="s">
        <v>74</v>
      </c>
      <c r="B5" s="92">
        <v>82</v>
      </c>
      <c r="C5" s="48"/>
      <c r="D5" s="57"/>
    </row>
    <row r="6" spans="1:4" ht="19.5" customHeight="1">
      <c r="A6" s="53" t="s">
        <v>108</v>
      </c>
      <c r="B6" s="92">
        <v>80</v>
      </c>
      <c r="C6" s="93" t="s">
        <v>109</v>
      </c>
      <c r="D6" s="57">
        <f>+IF(B6&lt;100,1,IF(B6&lt;150,2,3))</f>
        <v>1</v>
      </c>
    </row>
    <row r="7" spans="1:4" ht="19.5" customHeight="1">
      <c r="A7" s="53" t="s">
        <v>75</v>
      </c>
      <c r="B7" s="95">
        <f>+B5*B6</f>
        <v>6560</v>
      </c>
      <c r="C7" s="49" t="s">
        <v>63</v>
      </c>
      <c r="D7" s="57"/>
    </row>
    <row r="8" spans="1:4" ht="19.5" customHeight="1">
      <c r="A8" s="53" t="s">
        <v>110</v>
      </c>
      <c r="B8" s="162" t="str">
        <f>+IF(D8=1,"NO","SI")</f>
        <v>NO</v>
      </c>
      <c r="C8" s="163"/>
      <c r="D8" s="61">
        <v>1</v>
      </c>
    </row>
    <row r="9" spans="1:4" ht="19.5" customHeight="1">
      <c r="A9" s="53" t="s">
        <v>76</v>
      </c>
      <c r="B9" s="162" t="str">
        <f>LOOKUP(D9,'% ZONAS'!A25:A26,'% ZONAS'!B25:B26)</f>
        <v>GASOLEO</v>
      </c>
      <c r="C9" s="163"/>
      <c r="D9" s="61">
        <v>2</v>
      </c>
    </row>
    <row r="10" spans="1:4" ht="19.5" customHeight="1">
      <c r="A10" s="53" t="s">
        <v>199</v>
      </c>
      <c r="B10" s="45">
        <v>50</v>
      </c>
      <c r="C10" s="111" t="s">
        <v>200</v>
      </c>
      <c r="D10" s="57"/>
    </row>
    <row r="11" spans="1:4" ht="19.5" customHeight="1">
      <c r="A11" s="53" t="s">
        <v>201</v>
      </c>
      <c r="B11" s="112">
        <f>LOOKUP(D3,CIUDADES!A4:A54,CIUDADES!F4:F54)</f>
        <v>12.265753424657534</v>
      </c>
      <c r="C11" s="111" t="s">
        <v>200</v>
      </c>
      <c r="D11" s="57"/>
    </row>
    <row r="12" spans="1:4" ht="19.5" customHeight="1">
      <c r="A12" s="53" t="s">
        <v>77</v>
      </c>
      <c r="B12" s="164">
        <v>2006</v>
      </c>
      <c r="C12" s="152"/>
      <c r="D12" s="57"/>
    </row>
    <row r="13" spans="1:4" ht="19.5" customHeight="1">
      <c r="A13" s="157" t="s">
        <v>0</v>
      </c>
      <c r="B13" s="157"/>
      <c r="C13" s="157"/>
      <c r="D13" s="57"/>
    </row>
    <row r="14" spans="1:4" ht="19.5" customHeight="1">
      <c r="A14" s="28" t="s">
        <v>72</v>
      </c>
      <c r="B14" s="94">
        <f>39464</f>
        <v>39464</v>
      </c>
      <c r="C14" s="80" t="str">
        <f>LOOKUP('TOMA DE DATOS'!D9,'% ZONAS'!A25:A26,'% ZONAS'!D25:D26)</f>
        <v>l</v>
      </c>
      <c r="D14" s="57"/>
    </row>
    <row r="15" spans="1:4" ht="19.5" customHeight="1">
      <c r="A15" s="157" t="s">
        <v>207</v>
      </c>
      <c r="B15" s="157"/>
      <c r="C15" s="157"/>
      <c r="D15" s="57"/>
    </row>
    <row r="16" spans="1:4" ht="19.5" customHeight="1">
      <c r="A16" s="28" t="s">
        <v>206</v>
      </c>
      <c r="B16" s="94" t="str">
        <f>+IF(D8=1,"NO","?")</f>
        <v>NO</v>
      </c>
      <c r="C16" s="126" t="s">
        <v>42</v>
      </c>
      <c r="D16" s="135">
        <f>+IF(D8&gt;1,IF(B16&lt;&gt;"?",B16,0),0)</f>
        <v>0</v>
      </c>
    </row>
    <row r="17" spans="1:4" ht="19.5" customHeight="1">
      <c r="A17" s="50" t="s">
        <v>53</v>
      </c>
      <c r="B17" s="51"/>
      <c r="C17" s="51"/>
      <c r="D17" s="57"/>
    </row>
    <row r="18" spans="1:4" ht="19.5" customHeight="1">
      <c r="A18" s="20" t="s">
        <v>78</v>
      </c>
      <c r="B18" s="94">
        <v>16689</v>
      </c>
      <c r="C18" s="81" t="s">
        <v>43</v>
      </c>
      <c r="D18" s="57"/>
    </row>
    <row r="19" spans="1:4" ht="19.5" customHeight="1">
      <c r="A19" s="29" t="s">
        <v>79</v>
      </c>
      <c r="B19" s="94">
        <v>2390</v>
      </c>
      <c r="C19" s="81" t="s">
        <v>43</v>
      </c>
      <c r="D19" s="57"/>
    </row>
    <row r="20" spans="1:4" ht="19.5" customHeight="1">
      <c r="A20" s="20" t="s">
        <v>80</v>
      </c>
      <c r="B20" s="94">
        <v>520</v>
      </c>
      <c r="C20" s="81" t="s">
        <v>43</v>
      </c>
      <c r="D20" s="57"/>
    </row>
    <row r="21" spans="1:4" ht="19.5" customHeight="1">
      <c r="A21" s="30" t="s">
        <v>81</v>
      </c>
      <c r="B21" s="94">
        <v>1515</v>
      </c>
      <c r="C21" s="81" t="s">
        <v>43</v>
      </c>
      <c r="D21" s="57"/>
    </row>
    <row r="22" spans="1:4" ht="19.5" customHeight="1">
      <c r="A22" s="23" t="s">
        <v>82</v>
      </c>
      <c r="B22" s="94">
        <v>9563</v>
      </c>
      <c r="C22" s="81" t="s">
        <v>43</v>
      </c>
      <c r="D22" s="57"/>
    </row>
    <row r="23" spans="1:4" ht="19.5" customHeight="1">
      <c r="A23" s="23" t="s">
        <v>83</v>
      </c>
      <c r="B23" s="94">
        <v>100</v>
      </c>
      <c r="C23" s="81" t="s">
        <v>43</v>
      </c>
      <c r="D23" s="57"/>
    </row>
    <row r="24" spans="1:4" ht="19.5" customHeight="1">
      <c r="A24" s="23" t="s">
        <v>84</v>
      </c>
      <c r="B24" s="94">
        <v>1083</v>
      </c>
      <c r="C24" s="81" t="s">
        <v>43</v>
      </c>
      <c r="D24" s="57"/>
    </row>
    <row r="25" spans="1:4" ht="19.5" customHeight="1">
      <c r="A25" s="23" t="s">
        <v>85</v>
      </c>
      <c r="B25" s="94">
        <v>857</v>
      </c>
      <c r="C25" s="81" t="s">
        <v>43</v>
      </c>
      <c r="D25" s="57"/>
    </row>
    <row r="26" spans="1:4" ht="19.5" customHeight="1">
      <c r="A26" s="42" t="s">
        <v>67</v>
      </c>
      <c r="B26" s="43">
        <f>+SUM(B18:B25)</f>
        <v>32717</v>
      </c>
      <c r="C26" s="82" t="s">
        <v>43</v>
      </c>
      <c r="D26" s="57"/>
    </row>
    <row r="27" spans="1:4" ht="19.5" customHeight="1">
      <c r="A27" s="52" t="s">
        <v>59</v>
      </c>
      <c r="B27" s="52"/>
      <c r="C27" s="52"/>
      <c r="D27" s="57"/>
    </row>
    <row r="28" spans="1:4" ht="19.5" customHeight="1">
      <c r="A28" s="25" t="s">
        <v>86</v>
      </c>
      <c r="B28" s="94">
        <v>162356</v>
      </c>
      <c r="C28" s="83" t="s">
        <v>42</v>
      </c>
      <c r="D28" s="57"/>
    </row>
    <row r="29" spans="1:4" ht="19.5" customHeight="1">
      <c r="A29" s="54" t="s">
        <v>87</v>
      </c>
      <c r="B29" s="94">
        <v>3201</v>
      </c>
      <c r="C29" s="83" t="s">
        <v>44</v>
      </c>
      <c r="D29" s="57">
        <f>+IF(D8=1,1,IF(D16&gt;0,1,0))</f>
        <v>1</v>
      </c>
    </row>
  </sheetData>
  <mergeCells count="9">
    <mergeCell ref="A15:C15"/>
    <mergeCell ref="A13:C13"/>
    <mergeCell ref="B1:C1"/>
    <mergeCell ref="B3:C3"/>
    <mergeCell ref="B4:C4"/>
    <mergeCell ref="B8:C8"/>
    <mergeCell ref="B9:C9"/>
    <mergeCell ref="B12:C12"/>
    <mergeCell ref="B2:C2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F21"/>
    </sheetView>
  </sheetViews>
  <sheetFormatPr defaultColWidth="11.421875" defaultRowHeight="19.5" customHeight="1"/>
  <cols>
    <col min="1" max="1" width="25.7109375" style="1" customWidth="1"/>
    <col min="2" max="2" width="15.7109375" style="3" customWidth="1"/>
    <col min="3" max="3" width="10.7109375" style="2" customWidth="1"/>
    <col min="4" max="4" width="35.7109375" style="2" customWidth="1"/>
    <col min="5" max="5" width="15.7109375" style="2" customWidth="1"/>
    <col min="6" max="6" width="10.7109375" style="3" customWidth="1"/>
    <col min="7" max="8" width="15.7109375" style="2" customWidth="1"/>
    <col min="9" max="9" width="15.7109375" style="4" customWidth="1"/>
    <col min="10" max="10" width="15.7109375" style="3" customWidth="1"/>
    <col min="11" max="11" width="15.7109375" style="2" customWidth="1"/>
    <col min="12" max="13" width="15.7109375" style="5" customWidth="1"/>
    <col min="14" max="14" width="15.7109375" style="2" customWidth="1"/>
    <col min="15" max="16384" width="15.7109375" style="5" customWidth="1"/>
  </cols>
  <sheetData>
    <row r="1" spans="1:6" ht="19.5" customHeight="1">
      <c r="A1" s="176" t="s">
        <v>68</v>
      </c>
      <c r="B1" s="177"/>
      <c r="C1" s="177"/>
      <c r="D1" s="177"/>
      <c r="E1" s="177"/>
      <c r="F1" s="178"/>
    </row>
    <row r="2" spans="1:6" ht="19.5" customHeight="1">
      <c r="A2" s="174" t="s">
        <v>54</v>
      </c>
      <c r="B2" s="175"/>
      <c r="C2" s="160" t="str">
        <f>+'TOMA DE DATOS'!B1</f>
        <v>EJEMPLO</v>
      </c>
      <c r="D2" s="160"/>
      <c r="E2" s="160"/>
      <c r="F2" s="161"/>
    </row>
    <row r="3" spans="1:6" ht="19.5" customHeight="1">
      <c r="A3" s="174" t="s">
        <v>96</v>
      </c>
      <c r="B3" s="175"/>
      <c r="C3" s="160" t="str">
        <f>+'TOMA DE DATOS'!B2</f>
        <v>BILBAO</v>
      </c>
      <c r="D3" s="160"/>
      <c r="E3" s="160"/>
      <c r="F3" s="161"/>
    </row>
    <row r="4" spans="1:6" ht="19.5" customHeight="1">
      <c r="A4" s="174" t="s">
        <v>223</v>
      </c>
      <c r="B4" s="175"/>
      <c r="C4" s="160" t="str">
        <f>+'TOMA DE DATOS'!B4</f>
        <v>C</v>
      </c>
      <c r="D4" s="160"/>
      <c r="E4" s="160"/>
      <c r="F4" s="161"/>
    </row>
    <row r="5" spans="1:6" ht="19.5" customHeight="1">
      <c r="A5" s="174" t="s">
        <v>55</v>
      </c>
      <c r="B5" s="175"/>
      <c r="C5" s="162">
        <f>+'TOMA DE DATOS'!B5</f>
        <v>82</v>
      </c>
      <c r="D5" s="162"/>
      <c r="E5" s="162"/>
      <c r="F5" s="163"/>
    </row>
    <row r="6" spans="1:6" ht="19.5" customHeight="1">
      <c r="A6" s="174" t="s">
        <v>222</v>
      </c>
      <c r="B6" s="175"/>
      <c r="C6" s="142"/>
      <c r="D6" s="45">
        <f>+'TOMA DE DATOS'!B6</f>
        <v>80</v>
      </c>
      <c r="E6" s="172" t="s">
        <v>109</v>
      </c>
      <c r="F6" s="173"/>
    </row>
    <row r="7" spans="1:6" ht="19.5" customHeight="1">
      <c r="A7" s="174" t="s">
        <v>56</v>
      </c>
      <c r="B7" s="175"/>
      <c r="C7" s="171">
        <f>+'TOMA DE DATOS'!B7</f>
        <v>6560</v>
      </c>
      <c r="D7" s="171"/>
      <c r="E7" s="172" t="s">
        <v>63</v>
      </c>
      <c r="F7" s="173"/>
    </row>
    <row r="8" spans="1:6" ht="19.5" customHeight="1">
      <c r="A8" s="174" t="s">
        <v>203</v>
      </c>
      <c r="B8" s="175"/>
      <c r="C8" s="162" t="str">
        <f>+'TOMA DE DATOS'!B8</f>
        <v>NO</v>
      </c>
      <c r="D8" s="162"/>
      <c r="E8" s="162"/>
      <c r="F8" s="163"/>
    </row>
    <row r="9" spans="1:6" ht="19.5" customHeight="1">
      <c r="A9" s="174" t="s">
        <v>57</v>
      </c>
      <c r="B9" s="175"/>
      <c r="C9" s="162" t="str">
        <f>+'TOMA DE DATOS'!B9</f>
        <v>GASOLEO</v>
      </c>
      <c r="D9" s="162"/>
      <c r="E9" s="162"/>
      <c r="F9" s="163"/>
    </row>
    <row r="10" spans="1:6" ht="19.5" customHeight="1">
      <c r="A10" s="174" t="s">
        <v>58</v>
      </c>
      <c r="B10" s="175"/>
      <c r="C10" s="179">
        <f>+'TOMA DE DATOS'!B12</f>
        <v>2006</v>
      </c>
      <c r="D10" s="179"/>
      <c r="E10" s="179"/>
      <c r="F10" s="180"/>
    </row>
    <row r="11" spans="1:6" ht="19.5" customHeight="1">
      <c r="A11" s="155" t="s">
        <v>41</v>
      </c>
      <c r="B11" s="156"/>
      <c r="C11" s="150"/>
      <c r="D11" s="151" t="s">
        <v>53</v>
      </c>
      <c r="E11" s="165"/>
      <c r="F11" s="165"/>
    </row>
    <row r="12" spans="1:6" ht="19.5" customHeight="1">
      <c r="A12" s="28" t="s">
        <v>60</v>
      </c>
      <c r="B12" s="33">
        <f>+'TOMA DE DATOS'!B14</f>
        <v>39464</v>
      </c>
      <c r="C12" s="24" t="str">
        <f>+'TOMA DE DATOS'!C14</f>
        <v>l</v>
      </c>
      <c r="D12" s="166"/>
      <c r="E12" s="167"/>
      <c r="F12" s="167"/>
    </row>
    <row r="13" spans="1:6" ht="19.5" customHeight="1">
      <c r="A13" s="31" t="s">
        <v>61</v>
      </c>
      <c r="B13" s="34">
        <f>LOOKUP('TOMA DE DATOS'!D9,'% ZONAS'!A25:A26,'% ZONAS'!C25:C26)</f>
        <v>10.116279069767442</v>
      </c>
      <c r="C13" s="32" t="str">
        <f>LOOKUP('TOMA DE DATOS'!D9,'% ZONAS'!A25:A26,'% ZONAS'!E25:E26)</f>
        <v>kWh/l</v>
      </c>
      <c r="D13" s="20" t="s">
        <v>45</v>
      </c>
      <c r="E13" s="21">
        <f>+'TOMA DE DATOS'!B18</f>
        <v>16689</v>
      </c>
      <c r="F13" s="22" t="s">
        <v>43</v>
      </c>
    </row>
    <row r="14" spans="1:6" ht="19.5" customHeight="1">
      <c r="A14" s="28" t="s">
        <v>62</v>
      </c>
      <c r="B14" s="33">
        <f>+B12*B13</f>
        <v>399228.83720930235</v>
      </c>
      <c r="C14" s="24" t="s">
        <v>42</v>
      </c>
      <c r="D14" s="29" t="s">
        <v>46</v>
      </c>
      <c r="E14" s="21">
        <f>+'TOMA DE DATOS'!B19</f>
        <v>2390</v>
      </c>
      <c r="F14" s="22" t="s">
        <v>43</v>
      </c>
    </row>
    <row r="15" spans="1:6" ht="19.5" customHeight="1">
      <c r="A15" s="155" t="s">
        <v>209</v>
      </c>
      <c r="B15" s="156"/>
      <c r="C15" s="150"/>
      <c r="D15" s="20" t="s">
        <v>47</v>
      </c>
      <c r="E15" s="21">
        <f>+'TOMA DE DATOS'!B20</f>
        <v>520</v>
      </c>
      <c r="F15" s="22" t="s">
        <v>43</v>
      </c>
    </row>
    <row r="16" spans="1:6" ht="19.5" customHeight="1">
      <c r="A16" s="28" t="s">
        <v>208</v>
      </c>
      <c r="B16" s="33" t="str">
        <f>+'TOMA DE DATOS'!B16</f>
        <v>NO</v>
      </c>
      <c r="C16" s="24" t="s">
        <v>42</v>
      </c>
      <c r="D16" s="30" t="s">
        <v>48</v>
      </c>
      <c r="E16" s="21">
        <f>+'TOMA DE DATOS'!B21</f>
        <v>1515</v>
      </c>
      <c r="F16" s="22" t="s">
        <v>43</v>
      </c>
    </row>
    <row r="17" spans="1:6" ht="19.5" customHeight="1">
      <c r="A17" s="169" t="s">
        <v>59</v>
      </c>
      <c r="B17" s="169"/>
      <c r="C17" s="170"/>
      <c r="D17" s="23" t="s">
        <v>49</v>
      </c>
      <c r="E17" s="21">
        <f>+'TOMA DE DATOS'!B22</f>
        <v>9563</v>
      </c>
      <c r="F17" s="22" t="s">
        <v>43</v>
      </c>
    </row>
    <row r="18" spans="1:6" ht="19.5" customHeight="1">
      <c r="A18" s="25" t="s">
        <v>65</v>
      </c>
      <c r="B18" s="27">
        <f>+'TOMA DE DATOS'!B28</f>
        <v>162356</v>
      </c>
      <c r="C18" s="26" t="s">
        <v>42</v>
      </c>
      <c r="D18" s="23" t="s">
        <v>50</v>
      </c>
      <c r="E18" s="21">
        <f>+'TOMA DE DATOS'!B23</f>
        <v>100</v>
      </c>
      <c r="F18" s="22" t="s">
        <v>43</v>
      </c>
    </row>
    <row r="19" spans="1:6" ht="19.5" customHeight="1">
      <c r="A19" s="168" t="s">
        <v>64</v>
      </c>
      <c r="B19" s="35">
        <f>+'TOMA DE DATOS'!B29</f>
        <v>3201</v>
      </c>
      <c r="C19" s="36" t="s">
        <v>44</v>
      </c>
      <c r="D19" s="23" t="s">
        <v>51</v>
      </c>
      <c r="E19" s="21">
        <f>+'TOMA DE DATOS'!B24</f>
        <v>1083</v>
      </c>
      <c r="F19" s="22" t="s">
        <v>43</v>
      </c>
    </row>
    <row r="20" spans="1:6" ht="19.5" customHeight="1">
      <c r="A20" s="168"/>
      <c r="B20" s="37">
        <f>+B19*1000*('TOMA DE DATOS'!B10-'TOMA DE DATOS'!B11)/860</f>
        <v>140450.3759158968</v>
      </c>
      <c r="C20" s="38" t="s">
        <v>42</v>
      </c>
      <c r="D20" s="23" t="s">
        <v>52</v>
      </c>
      <c r="E20" s="21">
        <f>+'TOMA DE DATOS'!B25</f>
        <v>857</v>
      </c>
      <c r="F20" s="22" t="s">
        <v>43</v>
      </c>
    </row>
    <row r="21" spans="1:6" ht="19.5" customHeight="1">
      <c r="A21" s="39" t="s">
        <v>66</v>
      </c>
      <c r="B21" s="40">
        <f>IF(B18&gt;0,+B18+B20,"NO")</f>
        <v>302806.3759158968</v>
      </c>
      <c r="C21" s="41" t="s">
        <v>42</v>
      </c>
      <c r="D21" s="42" t="s">
        <v>67</v>
      </c>
      <c r="E21" s="43">
        <f>+SUM(E13:E20)</f>
        <v>32717</v>
      </c>
      <c r="F21" s="44" t="s">
        <v>43</v>
      </c>
    </row>
    <row r="22" ht="19.5" customHeight="1">
      <c r="B22" s="2"/>
    </row>
    <row r="23" ht="19.5" customHeight="1">
      <c r="B23" s="2"/>
    </row>
    <row r="24" ht="19.5" customHeight="1">
      <c r="B24" s="2"/>
    </row>
    <row r="25" ht="19.5" customHeight="1">
      <c r="B25" s="2"/>
    </row>
    <row r="26" ht="19.5" customHeight="1">
      <c r="B26" s="2"/>
    </row>
  </sheetData>
  <mergeCells count="25">
    <mergeCell ref="A1:F1"/>
    <mergeCell ref="C10:F10"/>
    <mergeCell ref="A2:B2"/>
    <mergeCell ref="A5:B5"/>
    <mergeCell ref="A7:B7"/>
    <mergeCell ref="A9:B9"/>
    <mergeCell ref="A10:B10"/>
    <mergeCell ref="C3:F3"/>
    <mergeCell ref="A6:B6"/>
    <mergeCell ref="E6:F6"/>
    <mergeCell ref="C9:F9"/>
    <mergeCell ref="A3:B3"/>
    <mergeCell ref="A8:B8"/>
    <mergeCell ref="C8:F8"/>
    <mergeCell ref="A4:B4"/>
    <mergeCell ref="C4:F4"/>
    <mergeCell ref="C2:F2"/>
    <mergeCell ref="C5:F5"/>
    <mergeCell ref="C7:D7"/>
    <mergeCell ref="E7:F7"/>
    <mergeCell ref="A11:C11"/>
    <mergeCell ref="A15:C15"/>
    <mergeCell ref="D11:F12"/>
    <mergeCell ref="A19:A20"/>
    <mergeCell ref="A17:C17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G13"/>
    </sheetView>
  </sheetViews>
  <sheetFormatPr defaultColWidth="11.421875" defaultRowHeight="19.5" customHeight="1"/>
  <cols>
    <col min="1" max="1" width="35.7109375" style="1" customWidth="1"/>
    <col min="2" max="2" width="12.7109375" style="2" customWidth="1"/>
    <col min="3" max="4" width="10.7109375" style="2" customWidth="1"/>
    <col min="5" max="6" width="10.7109375" style="3" customWidth="1"/>
    <col min="7" max="7" width="10.7109375" style="2" customWidth="1"/>
    <col min="8" max="9" width="12.7109375" style="2" customWidth="1"/>
    <col min="10" max="10" width="12.7109375" style="4" customWidth="1"/>
    <col min="11" max="11" width="12.7109375" style="3" customWidth="1"/>
    <col min="12" max="12" width="12.7109375" style="2" customWidth="1"/>
    <col min="13" max="14" width="12.7109375" style="5" customWidth="1"/>
    <col min="15" max="15" width="12.7109375" style="2" customWidth="1"/>
    <col min="16" max="16384" width="12.7109375" style="5" customWidth="1"/>
  </cols>
  <sheetData>
    <row r="1" spans="1:8" ht="19.5" customHeight="1">
      <c r="A1" s="89" t="s">
        <v>97</v>
      </c>
      <c r="B1" s="182" t="str">
        <f>+'TOMA DE DATOS'!B1</f>
        <v>EJEMPLO</v>
      </c>
      <c r="C1" s="182"/>
      <c r="D1" s="182"/>
      <c r="E1" s="182"/>
      <c r="F1" s="182"/>
      <c r="G1" s="182"/>
      <c r="H1" s="183"/>
    </row>
    <row r="2" spans="1:8" ht="19.5" customHeight="1">
      <c r="A2" s="89" t="s">
        <v>98</v>
      </c>
      <c r="B2" s="182" t="str">
        <f>+'TOMA DE DATOS'!B3</f>
        <v>VIZCAYA</v>
      </c>
      <c r="C2" s="182"/>
      <c r="D2" s="182"/>
      <c r="E2" s="182"/>
      <c r="F2" s="182"/>
      <c r="G2" s="182"/>
      <c r="H2" s="183"/>
    </row>
    <row r="3" spans="1:15" ht="19.5" customHeight="1">
      <c r="A3" s="184" t="s">
        <v>13</v>
      </c>
      <c r="B3" s="185" t="s">
        <v>5</v>
      </c>
      <c r="C3" s="185"/>
      <c r="D3" s="185"/>
      <c r="E3" s="186" t="s">
        <v>12</v>
      </c>
      <c r="F3" s="186"/>
      <c r="G3" s="186"/>
      <c r="H3" s="181" t="s">
        <v>3</v>
      </c>
      <c r="I3" s="4"/>
      <c r="J3" s="3"/>
      <c r="K3" s="2"/>
      <c r="L3" s="5"/>
      <c r="N3" s="2"/>
      <c r="O3" s="5"/>
    </row>
    <row r="4" spans="1:15" ht="19.5" customHeight="1">
      <c r="A4" s="184"/>
      <c r="B4" s="61" t="s">
        <v>2</v>
      </c>
      <c r="C4" s="61" t="s">
        <v>90</v>
      </c>
      <c r="D4" s="61" t="s">
        <v>3</v>
      </c>
      <c r="E4" s="55" t="s">
        <v>2</v>
      </c>
      <c r="F4" s="55" t="s">
        <v>90</v>
      </c>
      <c r="G4" s="55" t="s">
        <v>3</v>
      </c>
      <c r="H4" s="181"/>
      <c r="I4" s="4"/>
      <c r="J4" s="3"/>
      <c r="K4" s="2"/>
      <c r="L4" s="5"/>
      <c r="N4" s="2"/>
      <c r="O4" s="5"/>
    </row>
    <row r="5" spans="1:15" ht="19.5" customHeight="1">
      <c r="A5" s="184"/>
      <c r="B5" s="61" t="s">
        <v>1</v>
      </c>
      <c r="C5" s="61" t="s">
        <v>1</v>
      </c>
      <c r="D5" s="61" t="s">
        <v>1</v>
      </c>
      <c r="E5" s="55" t="s">
        <v>1</v>
      </c>
      <c r="F5" s="55" t="s">
        <v>1</v>
      </c>
      <c r="G5" s="55" t="s">
        <v>1</v>
      </c>
      <c r="H5" s="57" t="s">
        <v>1</v>
      </c>
      <c r="I5" s="4"/>
      <c r="J5" s="3"/>
      <c r="K5" s="2"/>
      <c r="L5" s="5"/>
      <c r="N5" s="2"/>
      <c r="O5" s="5"/>
    </row>
    <row r="6" spans="1:15" ht="19.5" customHeight="1">
      <c r="A6" s="63" t="s">
        <v>0</v>
      </c>
      <c r="B6" s="64">
        <f>LOOKUP('TOMA DE DATOS'!$B$4,'% ZONAS'!$A$19:$A$23,'% ZONAS'!$B$19:$B$23)</f>
        <v>0.4</v>
      </c>
      <c r="C6" s="7">
        <f>1-B6</f>
        <v>0.6</v>
      </c>
      <c r="D6" s="65">
        <f>+LOOKUP('TOMA DE DATOS'!$B$4,'% ZONAS'!$A$29:$A$33,'% ZONAS'!$B$29:$B$33)</f>
        <v>0.5</v>
      </c>
      <c r="E6" s="64">
        <f>LOOKUP('TOMA DE DATOS'!$B$4,'% ZONAS'!$A$19:$A$23,'% ZONAS'!$C$19:$C$23)</f>
        <v>0.5</v>
      </c>
      <c r="F6" s="7">
        <f>1-E6</f>
        <v>0.5</v>
      </c>
      <c r="G6" s="66">
        <f>+(E6+F6)-D6</f>
        <v>0.5</v>
      </c>
      <c r="H6" s="58">
        <f>+D6+G6</f>
        <v>1</v>
      </c>
      <c r="I6" s="4"/>
      <c r="J6" s="3"/>
      <c r="K6" s="2"/>
      <c r="L6" s="5"/>
      <c r="N6" s="2"/>
      <c r="O6" s="5"/>
    </row>
    <row r="7" spans="1:15" ht="19.5" customHeight="1">
      <c r="A7" s="63" t="s">
        <v>8</v>
      </c>
      <c r="B7" s="64">
        <v>1</v>
      </c>
      <c r="C7" s="7">
        <f>1-B7</f>
        <v>0</v>
      </c>
      <c r="D7" s="67">
        <v>0.5</v>
      </c>
      <c r="E7" s="59">
        <f>+B7</f>
        <v>1</v>
      </c>
      <c r="F7" s="7">
        <f aca="true" t="shared" si="0" ref="F7:F13">1-E7</f>
        <v>0</v>
      </c>
      <c r="G7" s="68">
        <f aca="true" t="shared" si="1" ref="G7:G13">+(E7+F7)-D7</f>
        <v>0.5</v>
      </c>
      <c r="H7" s="58">
        <f aca="true" t="shared" si="2" ref="H7:H13">+D7+G7</f>
        <v>1</v>
      </c>
      <c r="I7" s="4"/>
      <c r="J7" s="3"/>
      <c r="K7" s="2"/>
      <c r="L7" s="5"/>
      <c r="N7" s="2"/>
      <c r="O7" s="5"/>
    </row>
    <row r="8" spans="1:15" ht="19.5" customHeight="1">
      <c r="A8" s="63" t="s">
        <v>9</v>
      </c>
      <c r="B8" s="64">
        <v>0.9</v>
      </c>
      <c r="C8" s="7">
        <f>1-B8</f>
        <v>0.09999999999999998</v>
      </c>
      <c r="D8" s="67">
        <v>0.5</v>
      </c>
      <c r="E8" s="59">
        <f>+B8</f>
        <v>0.9</v>
      </c>
      <c r="F8" s="7">
        <f t="shared" si="0"/>
        <v>0.09999999999999998</v>
      </c>
      <c r="G8" s="68">
        <f t="shared" si="1"/>
        <v>0.5</v>
      </c>
      <c r="H8" s="58">
        <f t="shared" si="2"/>
        <v>1</v>
      </c>
      <c r="I8" s="4"/>
      <c r="J8" s="3"/>
      <c r="K8" s="2"/>
      <c r="L8" s="5"/>
      <c r="N8" s="2"/>
      <c r="O8" s="5"/>
    </row>
    <row r="9" spans="1:15" ht="19.5" customHeight="1">
      <c r="A9" s="63" t="s">
        <v>15</v>
      </c>
      <c r="B9" s="64">
        <v>1</v>
      </c>
      <c r="C9" s="7">
        <f>1-B9</f>
        <v>0</v>
      </c>
      <c r="D9" s="67">
        <v>0.5</v>
      </c>
      <c r="E9" s="59">
        <f>+B9</f>
        <v>1</v>
      </c>
      <c r="F9" s="7">
        <f t="shared" si="0"/>
        <v>0</v>
      </c>
      <c r="G9" s="68">
        <f t="shared" si="1"/>
        <v>0.5</v>
      </c>
      <c r="H9" s="58">
        <f t="shared" si="2"/>
        <v>1</v>
      </c>
      <c r="I9" s="4"/>
      <c r="J9" s="3"/>
      <c r="K9" s="2"/>
      <c r="L9" s="5"/>
      <c r="N9" s="2"/>
      <c r="O9" s="5"/>
    </row>
    <row r="10" spans="1:15" ht="19.5" customHeight="1">
      <c r="A10" s="63" t="s">
        <v>69</v>
      </c>
      <c r="B10" s="69"/>
      <c r="C10" s="10"/>
      <c r="D10" s="67">
        <v>0</v>
      </c>
      <c r="E10" s="64">
        <v>0</v>
      </c>
      <c r="F10" s="7">
        <f t="shared" si="0"/>
        <v>1</v>
      </c>
      <c r="G10" s="68">
        <f t="shared" si="1"/>
        <v>1</v>
      </c>
      <c r="H10" s="58">
        <f t="shared" si="2"/>
        <v>1</v>
      </c>
      <c r="I10" s="4"/>
      <c r="J10" s="3"/>
      <c r="K10" s="2"/>
      <c r="L10" s="5"/>
      <c r="N10" s="2"/>
      <c r="O10" s="5"/>
    </row>
    <row r="11" spans="1:15" ht="19.5" customHeight="1">
      <c r="A11" s="63" t="s">
        <v>70</v>
      </c>
      <c r="B11" s="64">
        <v>1</v>
      </c>
      <c r="C11" s="7">
        <f>1-B11</f>
        <v>0</v>
      </c>
      <c r="D11" s="67">
        <v>0.5</v>
      </c>
      <c r="E11" s="59">
        <f>+B11</f>
        <v>1</v>
      </c>
      <c r="F11" s="7">
        <f t="shared" si="0"/>
        <v>0</v>
      </c>
      <c r="G11" s="68">
        <f t="shared" si="1"/>
        <v>0.5</v>
      </c>
      <c r="H11" s="58">
        <f t="shared" si="2"/>
        <v>1</v>
      </c>
      <c r="I11" s="4"/>
      <c r="J11" s="3"/>
      <c r="K11" s="2"/>
      <c r="L11" s="5"/>
      <c r="N11" s="2"/>
      <c r="O11" s="5"/>
    </row>
    <row r="12" spans="1:15" ht="19.5" customHeight="1">
      <c r="A12" s="63" t="s">
        <v>11</v>
      </c>
      <c r="B12" s="64">
        <f>+IF('TOMA DE DATOS'!B28&gt;0,1,0)</f>
        <v>1</v>
      </c>
      <c r="C12" s="7">
        <f>1-B12</f>
        <v>0</v>
      </c>
      <c r="D12" s="67">
        <v>0.5</v>
      </c>
      <c r="E12" s="59">
        <f>+B12</f>
        <v>1</v>
      </c>
      <c r="F12" s="7">
        <f t="shared" si="0"/>
        <v>0</v>
      </c>
      <c r="G12" s="68">
        <f t="shared" si="1"/>
        <v>0.5</v>
      </c>
      <c r="H12" s="58">
        <f t="shared" si="2"/>
        <v>1</v>
      </c>
      <c r="I12" s="4"/>
      <c r="J12" s="3"/>
      <c r="K12" s="2"/>
      <c r="L12" s="5"/>
      <c r="N12" s="2"/>
      <c r="O12" s="5"/>
    </row>
    <row r="13" spans="1:15" ht="19.5" customHeight="1">
      <c r="A13" s="63" t="s">
        <v>10</v>
      </c>
      <c r="B13" s="64">
        <v>1</v>
      </c>
      <c r="C13" s="7">
        <f>1-B13</f>
        <v>0</v>
      </c>
      <c r="D13" s="67">
        <v>0.5</v>
      </c>
      <c r="E13" s="59">
        <f>+B13</f>
        <v>1</v>
      </c>
      <c r="F13" s="7">
        <f t="shared" si="0"/>
        <v>0</v>
      </c>
      <c r="G13" s="68">
        <f t="shared" si="1"/>
        <v>0.5</v>
      </c>
      <c r="H13" s="58">
        <f t="shared" si="2"/>
        <v>1</v>
      </c>
      <c r="I13" s="4"/>
      <c r="J13" s="3"/>
      <c r="K13" s="2"/>
      <c r="L13" s="5"/>
      <c r="N13" s="2"/>
      <c r="O13" s="5"/>
    </row>
  </sheetData>
  <mergeCells count="6">
    <mergeCell ref="H3:H4"/>
    <mergeCell ref="B1:H1"/>
    <mergeCell ref="B2:H2"/>
    <mergeCell ref="A3:A5"/>
    <mergeCell ref="B3:D3"/>
    <mergeCell ref="E3:G3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5" sqref="A5:G15"/>
    </sheetView>
  </sheetViews>
  <sheetFormatPr defaultColWidth="11.421875" defaultRowHeight="19.5" customHeight="1"/>
  <cols>
    <col min="1" max="1" width="35.7109375" style="1" customWidth="1"/>
    <col min="2" max="3" width="12.7109375" style="2" customWidth="1"/>
    <col min="4" max="5" width="12.7109375" style="3" customWidth="1"/>
    <col min="6" max="9" width="12.7109375" style="2" customWidth="1"/>
    <col min="10" max="10" width="12.7109375" style="4" customWidth="1"/>
    <col min="11" max="11" width="12.7109375" style="3" customWidth="1"/>
    <col min="12" max="12" width="12.7109375" style="2" customWidth="1"/>
    <col min="13" max="14" width="12.7109375" style="5" customWidth="1"/>
    <col min="15" max="15" width="12.7109375" style="2" customWidth="1"/>
    <col min="16" max="16384" width="12.7109375" style="5" customWidth="1"/>
  </cols>
  <sheetData>
    <row r="1" spans="1:9" ht="19.5" customHeight="1">
      <c r="A1" s="194" t="s">
        <v>16</v>
      </c>
      <c r="B1" s="195"/>
      <c r="C1" s="195"/>
      <c r="D1" s="195"/>
      <c r="E1" s="195"/>
      <c r="F1" s="195"/>
      <c r="G1" s="196"/>
      <c r="H1" s="187" t="s">
        <v>3</v>
      </c>
      <c r="I1" s="188"/>
    </row>
    <row r="2" spans="1:9" ht="19.5" customHeight="1">
      <c r="A2" s="53" t="s">
        <v>89</v>
      </c>
      <c r="B2" s="182" t="str">
        <f>+'TOMA DE DATOS'!B1:C1</f>
        <v>EJEMPLO</v>
      </c>
      <c r="C2" s="182"/>
      <c r="D2" s="182"/>
      <c r="E2" s="182"/>
      <c r="F2" s="182"/>
      <c r="G2" s="183"/>
      <c r="H2" s="189"/>
      <c r="I2" s="190"/>
    </row>
    <row r="3" spans="1:9" ht="19.5" customHeight="1">
      <c r="A3" s="90" t="s">
        <v>99</v>
      </c>
      <c r="B3" s="182" t="str">
        <f>+'TOMA DE DATOS'!B2:C2</f>
        <v>BILBAO</v>
      </c>
      <c r="C3" s="182"/>
      <c r="D3" s="182"/>
      <c r="E3" s="182"/>
      <c r="F3" s="182"/>
      <c r="G3" s="183"/>
      <c r="H3" s="189"/>
      <c r="I3" s="190"/>
    </row>
    <row r="4" spans="1:9" ht="19.5" customHeight="1">
      <c r="A4" s="90" t="str">
        <f>+'TOMA DE DATOS'!A5</f>
        <v>Nº VIVIENDAS…………………...……………..</v>
      </c>
      <c r="B4" s="182">
        <f>+'TOMA DE DATOS'!B5</f>
        <v>82</v>
      </c>
      <c r="C4" s="182"/>
      <c r="D4" s="182"/>
      <c r="E4" s="182"/>
      <c r="F4" s="182"/>
      <c r="G4" s="183"/>
      <c r="H4" s="189"/>
      <c r="I4" s="190"/>
    </row>
    <row r="5" spans="1:9" ht="19.5" customHeight="1">
      <c r="A5" s="184" t="s">
        <v>221</v>
      </c>
      <c r="B5" s="185" t="s">
        <v>5</v>
      </c>
      <c r="C5" s="185"/>
      <c r="D5" s="185"/>
      <c r="E5" s="193" t="s">
        <v>12</v>
      </c>
      <c r="F5" s="193"/>
      <c r="G5" s="193"/>
      <c r="H5" s="191"/>
      <c r="I5" s="192"/>
    </row>
    <row r="6" spans="1:9" ht="19.5" customHeight="1">
      <c r="A6" s="184"/>
      <c r="B6" s="61" t="s">
        <v>2</v>
      </c>
      <c r="C6" s="61" t="s">
        <v>205</v>
      </c>
      <c r="D6" s="61" t="s">
        <v>3</v>
      </c>
      <c r="E6" s="121" t="s">
        <v>2</v>
      </c>
      <c r="F6" s="121" t="s">
        <v>205</v>
      </c>
      <c r="G6" s="121" t="s">
        <v>3</v>
      </c>
      <c r="H6" s="146" t="s">
        <v>43</v>
      </c>
      <c r="I6" s="57" t="s">
        <v>1</v>
      </c>
    </row>
    <row r="7" spans="1:9" ht="19.5" customHeight="1">
      <c r="A7" s="63" t="s">
        <v>3</v>
      </c>
      <c r="B7" s="61">
        <f aca="true" t="shared" si="0" ref="B7:G7">+SUM(B8:B15)</f>
        <v>6544.3</v>
      </c>
      <c r="C7" s="61">
        <f t="shared" si="0"/>
        <v>5032.7</v>
      </c>
      <c r="D7" s="61">
        <f t="shared" si="0"/>
        <v>11577</v>
      </c>
      <c r="E7" s="121">
        <f t="shared" si="0"/>
        <v>7378.75</v>
      </c>
      <c r="F7" s="121">
        <f t="shared" si="0"/>
        <v>13761.25</v>
      </c>
      <c r="G7" s="121">
        <f t="shared" si="0"/>
        <v>21140</v>
      </c>
      <c r="H7" s="146">
        <f aca="true" t="shared" si="1" ref="H7:H15">+D7+G7</f>
        <v>32717</v>
      </c>
      <c r="I7" s="147">
        <f>+H7/H$7</f>
        <v>1</v>
      </c>
    </row>
    <row r="8" spans="1:9" ht="19.5" customHeight="1">
      <c r="A8" s="63" t="s">
        <v>0</v>
      </c>
      <c r="B8" s="8">
        <f>+'TOMA DE DATOS'!$B18*'% SERVICIOS'!B6*'% SERVICIOS'!$D6</f>
        <v>3337.8</v>
      </c>
      <c r="C8" s="8">
        <f>+'TOMA DE DATOS'!$B18*'% SERVICIOS'!C6*'% SERVICIOS'!$D6</f>
        <v>5006.7</v>
      </c>
      <c r="D8" s="62">
        <f>+B8+C8</f>
        <v>8344.5</v>
      </c>
      <c r="E8" s="8">
        <f>+'TOMA DE DATOS'!$B18*'% SERVICIOS'!E6*'% SERVICIOS'!$G6</f>
        <v>4172.25</v>
      </c>
      <c r="F8" s="8">
        <f>+'TOMA DE DATOS'!$B18*'% SERVICIOS'!F6*'% SERVICIOS'!$G6</f>
        <v>4172.25</v>
      </c>
      <c r="G8" s="122">
        <f aca="true" t="shared" si="2" ref="G8:G15">+E8+F8</f>
        <v>8344.5</v>
      </c>
      <c r="H8" s="143">
        <f t="shared" si="1"/>
        <v>16689</v>
      </c>
      <c r="I8" s="145">
        <f>+H8/H$7</f>
        <v>0.5101017819482226</v>
      </c>
    </row>
    <row r="9" spans="1:9" ht="19.5" customHeight="1">
      <c r="A9" s="63" t="s">
        <v>8</v>
      </c>
      <c r="B9" s="8">
        <f>+'TOMA DE DATOS'!$B19*'% SERVICIOS'!B7*'% SERVICIOS'!$D7</f>
        <v>1195</v>
      </c>
      <c r="C9" s="8">
        <f>+'TOMA DE DATOS'!$B19*'% SERVICIOS'!C7*'% SERVICIOS'!$D7</f>
        <v>0</v>
      </c>
      <c r="D9" s="62">
        <f>+B9+C9</f>
        <v>1195</v>
      </c>
      <c r="E9" s="8">
        <f>+'TOMA DE DATOS'!$B19*'% SERVICIOS'!E7*'% SERVICIOS'!$G7</f>
        <v>1195</v>
      </c>
      <c r="F9" s="8">
        <f>+'TOMA DE DATOS'!$B19*'% SERVICIOS'!F7*'% SERVICIOS'!$G7</f>
        <v>0</v>
      </c>
      <c r="G9" s="122">
        <f t="shared" si="2"/>
        <v>1195</v>
      </c>
      <c r="H9" s="143">
        <f t="shared" si="1"/>
        <v>2390</v>
      </c>
      <c r="I9" s="145">
        <f aca="true" t="shared" si="3" ref="I9:I15">+H9/H$7</f>
        <v>0.07305070758321362</v>
      </c>
    </row>
    <row r="10" spans="1:9" ht="19.5" customHeight="1">
      <c r="A10" s="63" t="s">
        <v>9</v>
      </c>
      <c r="B10" s="8">
        <f>+'TOMA DE DATOS'!$B20*'% SERVICIOS'!B8*'% SERVICIOS'!$D8</f>
        <v>234</v>
      </c>
      <c r="C10" s="8">
        <f>+'TOMA DE DATOS'!$B20*'% SERVICIOS'!C8*'% SERVICIOS'!$D8</f>
        <v>25.999999999999993</v>
      </c>
      <c r="D10" s="62">
        <f>+B10+C10</f>
        <v>260</v>
      </c>
      <c r="E10" s="8">
        <f>+'TOMA DE DATOS'!$B20*'% SERVICIOS'!E8*'% SERVICIOS'!$G8</f>
        <v>234</v>
      </c>
      <c r="F10" s="8">
        <f>+'TOMA DE DATOS'!$B20*'% SERVICIOS'!F8*'% SERVICIOS'!$G8</f>
        <v>25.999999999999993</v>
      </c>
      <c r="G10" s="122">
        <f t="shared" si="2"/>
        <v>260</v>
      </c>
      <c r="H10" s="143">
        <f t="shared" si="1"/>
        <v>520</v>
      </c>
      <c r="I10" s="145">
        <f t="shared" si="3"/>
        <v>0.015893877800531832</v>
      </c>
    </row>
    <row r="11" spans="1:9" ht="19.5" customHeight="1">
      <c r="A11" s="63" t="s">
        <v>15</v>
      </c>
      <c r="B11" s="8">
        <f>+'TOMA DE DATOS'!$B21*'% SERVICIOS'!B9*'% SERVICIOS'!$D9</f>
        <v>757.5</v>
      </c>
      <c r="C11" s="8">
        <f>+'TOMA DE DATOS'!$B21*'% SERVICIOS'!C9*'% SERVICIOS'!$D9</f>
        <v>0</v>
      </c>
      <c r="D11" s="62">
        <f>+B11+C11</f>
        <v>757.5</v>
      </c>
      <c r="E11" s="8">
        <f>+'TOMA DE DATOS'!$B21*'% SERVICIOS'!E9*'% SERVICIOS'!$G9</f>
        <v>757.5</v>
      </c>
      <c r="F11" s="8">
        <f>+'TOMA DE DATOS'!$B21*'% SERVICIOS'!F9*'% SERVICIOS'!$G9</f>
        <v>0</v>
      </c>
      <c r="G11" s="122">
        <f t="shared" si="2"/>
        <v>757.5</v>
      </c>
      <c r="H11" s="143">
        <f t="shared" si="1"/>
        <v>1515</v>
      </c>
      <c r="I11" s="145">
        <f t="shared" si="3"/>
        <v>0.04630620166885717</v>
      </c>
    </row>
    <row r="12" spans="1:9" ht="19.5" customHeight="1">
      <c r="A12" s="63" t="s">
        <v>69</v>
      </c>
      <c r="B12" s="60"/>
      <c r="C12" s="10"/>
      <c r="D12" s="62"/>
      <c r="E12" s="8">
        <f>+'TOMA DE DATOS'!$B22*'% SERVICIOS'!E10*'% SERVICIOS'!$G10</f>
        <v>0</v>
      </c>
      <c r="F12" s="8">
        <f>+'TOMA DE DATOS'!$B22*'% SERVICIOS'!F10*'% SERVICIOS'!$G10</f>
        <v>9563</v>
      </c>
      <c r="G12" s="122">
        <f t="shared" si="2"/>
        <v>9563</v>
      </c>
      <c r="H12" s="143">
        <f t="shared" si="1"/>
        <v>9563</v>
      </c>
      <c r="I12" s="145">
        <f t="shared" si="3"/>
        <v>0.29229452578170373</v>
      </c>
    </row>
    <row r="13" spans="1:9" ht="19.5" customHeight="1">
      <c r="A13" s="63" t="s">
        <v>70</v>
      </c>
      <c r="B13" s="8">
        <f>+'TOMA DE DATOS'!$B23*'% SERVICIOS'!B11*'% SERVICIOS'!$D11</f>
        <v>50</v>
      </c>
      <c r="C13" s="8">
        <f>+'TOMA DE DATOS'!$B23*'% SERVICIOS'!C11*'% SERVICIOS'!$D11</f>
        <v>0</v>
      </c>
      <c r="D13" s="62">
        <f>+B13+C13</f>
        <v>50</v>
      </c>
      <c r="E13" s="8">
        <f>+'TOMA DE DATOS'!$B23*'% SERVICIOS'!E11*'% SERVICIOS'!$G11</f>
        <v>50</v>
      </c>
      <c r="F13" s="8">
        <f>+'TOMA DE DATOS'!$B23*'% SERVICIOS'!F11*'% SERVICIOS'!$G11</f>
        <v>0</v>
      </c>
      <c r="G13" s="122">
        <f t="shared" si="2"/>
        <v>50</v>
      </c>
      <c r="H13" s="143">
        <f t="shared" si="1"/>
        <v>100</v>
      </c>
      <c r="I13" s="145">
        <f t="shared" si="3"/>
        <v>0.0030565149616407373</v>
      </c>
    </row>
    <row r="14" spans="1:9" ht="19.5" customHeight="1">
      <c r="A14" s="63" t="s">
        <v>11</v>
      </c>
      <c r="B14" s="8">
        <f>+'TOMA DE DATOS'!$B24*'% SERVICIOS'!B12*'% SERVICIOS'!$D12</f>
        <v>541.5</v>
      </c>
      <c r="C14" s="8">
        <f>+'TOMA DE DATOS'!$B24*'% SERVICIOS'!C12*'% SERVICIOS'!$D12</f>
        <v>0</v>
      </c>
      <c r="D14" s="62">
        <f>+B14+C14</f>
        <v>541.5</v>
      </c>
      <c r="E14" s="8">
        <f>+'TOMA DE DATOS'!$B24*'% SERVICIOS'!E12*'% SERVICIOS'!$G12</f>
        <v>541.5</v>
      </c>
      <c r="F14" s="8">
        <f>+'TOMA DE DATOS'!$B24*'% SERVICIOS'!F12*'% SERVICIOS'!$G12</f>
        <v>0</v>
      </c>
      <c r="G14" s="122">
        <f t="shared" si="2"/>
        <v>541.5</v>
      </c>
      <c r="H14" s="143">
        <f t="shared" si="1"/>
        <v>1083</v>
      </c>
      <c r="I14" s="145">
        <f t="shared" si="3"/>
        <v>0.033102057034569185</v>
      </c>
    </row>
    <row r="15" spans="1:9" ht="19.5" customHeight="1">
      <c r="A15" s="63" t="s">
        <v>10</v>
      </c>
      <c r="B15" s="8">
        <f>+'TOMA DE DATOS'!$B25*'% SERVICIOS'!B13*'% SERVICIOS'!$D13</f>
        <v>428.5</v>
      </c>
      <c r="C15" s="8">
        <f>+'TOMA DE DATOS'!$B25*'% SERVICIOS'!C13*'% SERVICIOS'!$D13</f>
        <v>0</v>
      </c>
      <c r="D15" s="62">
        <f>+B15+C15</f>
        <v>428.5</v>
      </c>
      <c r="E15" s="8">
        <f>+'TOMA DE DATOS'!$B25*'% SERVICIOS'!E13*'% SERVICIOS'!$G13</f>
        <v>428.5</v>
      </c>
      <c r="F15" s="8">
        <f>+'TOMA DE DATOS'!$B25*'% SERVICIOS'!F13*'% SERVICIOS'!$G13</f>
        <v>0</v>
      </c>
      <c r="G15" s="122">
        <f t="shared" si="2"/>
        <v>428.5</v>
      </c>
      <c r="H15" s="143">
        <f t="shared" si="1"/>
        <v>857</v>
      </c>
      <c r="I15" s="145">
        <f t="shared" si="3"/>
        <v>0.026194333221261117</v>
      </c>
    </row>
  </sheetData>
  <mergeCells count="8">
    <mergeCell ref="B3:G3"/>
    <mergeCell ref="B4:G4"/>
    <mergeCell ref="H1:I5"/>
    <mergeCell ref="A5:A6"/>
    <mergeCell ref="B5:D5"/>
    <mergeCell ref="E5:G5"/>
    <mergeCell ref="A1:G1"/>
    <mergeCell ref="B2:G2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9.5" customHeight="1"/>
  <cols>
    <col min="1" max="1" width="35.7109375" style="1" customWidth="1"/>
    <col min="2" max="4" width="12.7109375" style="2" customWidth="1"/>
    <col min="5" max="5" width="35.7109375" style="77" customWidth="1"/>
    <col min="6" max="6" width="15.7109375" style="5" customWidth="1"/>
    <col min="7" max="16384" width="12.7109375" style="5" customWidth="1"/>
  </cols>
  <sheetData>
    <row r="1" spans="1:6" ht="19.5" customHeight="1">
      <c r="A1" s="123" t="s">
        <v>89</v>
      </c>
      <c r="B1" s="205" t="str">
        <f>+'TOMA DE DATOS'!B1:C1</f>
        <v>EJEMPLO</v>
      </c>
      <c r="C1" s="205"/>
      <c r="D1" s="205"/>
      <c r="E1" s="205"/>
      <c r="F1" s="206"/>
    </row>
    <row r="2" spans="1:6" ht="19.5" customHeight="1">
      <c r="A2" s="124" t="s">
        <v>99</v>
      </c>
      <c r="B2" s="182" t="str">
        <f>+'TOMA DE DATOS'!B2:C2</f>
        <v>BILBAO</v>
      </c>
      <c r="C2" s="182"/>
      <c r="D2" s="182"/>
      <c r="E2" s="182"/>
      <c r="F2" s="201"/>
    </row>
    <row r="3" spans="1:6" ht="19.5" customHeight="1" thickBot="1">
      <c r="A3" s="125" t="str">
        <f>+'TOMA DE DATOS'!A5</f>
        <v>Nº VIVIENDAS…………………...……………..</v>
      </c>
      <c r="B3" s="199">
        <f>+'TOMA DE DATOS'!B5</f>
        <v>82</v>
      </c>
      <c r="C3" s="199"/>
      <c r="D3" s="199"/>
      <c r="E3" s="199"/>
      <c r="F3" s="200"/>
    </row>
    <row r="4" spans="1:6" ht="19.5" customHeight="1" thickBot="1">
      <c r="A4" s="71" t="s">
        <v>21</v>
      </c>
      <c r="B4" s="16" t="str">
        <f>+IF('TOMA DE DATOS'!D9=1,"kWh","litros")</f>
        <v>litros</v>
      </c>
      <c r="C4" s="16" t="s">
        <v>4</v>
      </c>
      <c r="D4" s="17" t="s">
        <v>38</v>
      </c>
      <c r="E4" s="202" t="s">
        <v>28</v>
      </c>
      <c r="F4" s="204"/>
    </row>
    <row r="5" spans="1:6" ht="19.5" customHeight="1">
      <c r="A5" s="72" t="s">
        <v>17</v>
      </c>
      <c r="B5" s="18">
        <f>+DATOS!B12</f>
        <v>39464</v>
      </c>
      <c r="C5" s="18">
        <f>+DATOS!B14</f>
        <v>399228.83720930235</v>
      </c>
      <c r="D5" s="19">
        <f>+IF('TOMA DE DATOS'!$B$28&gt;0,($C$8+$C$9)/($C$5+'TOMA DE DATOS'!$D$16),"NO")</f>
        <v>0.7584782152325973</v>
      </c>
      <c r="E5" s="207" t="s">
        <v>216</v>
      </c>
      <c r="F5" s="208"/>
    </row>
    <row r="6" spans="1:6" ht="19.5" customHeight="1" thickBot="1">
      <c r="A6" s="137" t="s">
        <v>220</v>
      </c>
      <c r="B6" s="138" t="str">
        <f>+'TOMA DE DATOS'!B16</f>
        <v>NO</v>
      </c>
      <c r="C6" s="138" t="str">
        <f>+IF('TOMA DE DATOS'!$D$16&gt;0,'RATIOS RTO'!$C$5+'TOMA DE DATOS'!$D$16,"NO")</f>
        <v>NO</v>
      </c>
      <c r="D6" s="139" t="str">
        <f>+IF('TOMA DE DATOS'!$D$16&gt;0,($C$8+$C$9)/$C$5,"NO")</f>
        <v>NO</v>
      </c>
      <c r="E6" s="70" t="s">
        <v>210</v>
      </c>
      <c r="F6" s="78">
        <f>+IF('TOMA DE DATOS'!B28&gt;0,'REPARTO COSTOS'!B7/'TOMA DE DATOS'!B5,'REPARTO COSTOS'!D7/'TOMA DE DATOS'!B5)</f>
        <v>79.80853658536586</v>
      </c>
    </row>
    <row r="7" spans="1:6" ht="19.5" customHeight="1" thickBot="1">
      <c r="A7" s="140" t="s">
        <v>18</v>
      </c>
      <c r="B7" s="141" t="s">
        <v>39</v>
      </c>
      <c r="C7" s="16" t="s">
        <v>4</v>
      </c>
      <c r="D7" s="17" t="s">
        <v>38</v>
      </c>
      <c r="E7" s="70" t="s">
        <v>211</v>
      </c>
      <c r="F7" s="79">
        <f>+IF('TOMA DE DATOS'!B28&gt;0,('REPARTO COSTOS'!C7/'RATIOS RTO'!C8)*100,"NO")</f>
        <v>3.099793047377368</v>
      </c>
    </row>
    <row r="8" spans="1:6" ht="19.5" customHeight="1">
      <c r="A8" s="72" t="s">
        <v>6</v>
      </c>
      <c r="B8" s="9"/>
      <c r="C8" s="18">
        <f>+DATOS!B18</f>
        <v>162356</v>
      </c>
      <c r="D8" s="19">
        <f>+IF('TOMA DE DATOS'!B28&gt;0,C8/(C5*'% SERVICIOS'!D6),"NO")</f>
        <v>0.8133480593982352</v>
      </c>
      <c r="E8" s="207" t="s">
        <v>217</v>
      </c>
      <c r="F8" s="208"/>
    </row>
    <row r="9" spans="1:6" ht="19.5" customHeight="1" thickBot="1">
      <c r="A9" s="73" t="s">
        <v>7</v>
      </c>
      <c r="B9" s="74">
        <f>+DATOS!B19</f>
        <v>3201</v>
      </c>
      <c r="C9" s="74">
        <f>+DATOS!B20</f>
        <v>140450.3759158968</v>
      </c>
      <c r="D9" s="75">
        <f>IF('TOMA DE DATOS'!$D$29=1,+($C$9-'TOMA DE DATOS'!$D$16)/($C$5*'% SERVICIOS'!$G$6),"NO")</f>
        <v>0.7036083710669595</v>
      </c>
      <c r="E9" s="70" t="s">
        <v>212</v>
      </c>
      <c r="F9" s="78">
        <f>+'REPARTO COSTOS'!E7/'TOMA DE DATOS'!B5</f>
        <v>89.98475609756098</v>
      </c>
    </row>
    <row r="10" spans="1:6" ht="19.5" customHeight="1" thickBot="1">
      <c r="A10" s="202" t="s">
        <v>22</v>
      </c>
      <c r="B10" s="203"/>
      <c r="C10" s="203"/>
      <c r="D10" s="204"/>
      <c r="E10" s="127" t="s">
        <v>213</v>
      </c>
      <c r="F10" s="128">
        <f>+'REPARTO COSTOS'!F7/'RATIOS RTO'!B9</f>
        <v>4.299047172758513</v>
      </c>
    </row>
    <row r="11" spans="1:6" ht="19.5" customHeight="1">
      <c r="A11" s="47" t="s">
        <v>23</v>
      </c>
      <c r="B11" s="197">
        <f>+C5/'TOMA DE DATOS'!B5</f>
        <v>4868.644356211004</v>
      </c>
      <c r="C11" s="197"/>
      <c r="D11" s="198"/>
      <c r="E11" s="134" t="s">
        <v>218</v>
      </c>
      <c r="F11" s="131"/>
    </row>
    <row r="12" spans="1:6" ht="19.5" customHeight="1">
      <c r="A12" s="47" t="s">
        <v>24</v>
      </c>
      <c r="B12" s="197">
        <f>IF('TOMA DE DATOS'!B7&gt;0,+$C$5/'TOMA DE DATOS'!$B$7,"NO")</f>
        <v>60.85805445263755</v>
      </c>
      <c r="C12" s="197"/>
      <c r="D12" s="198"/>
      <c r="E12" s="70" t="s">
        <v>29</v>
      </c>
      <c r="F12" s="78">
        <f>+F6+F9</f>
        <v>169.79329268292685</v>
      </c>
    </row>
    <row r="13" spans="1:6" ht="19.5" customHeight="1" thickBot="1">
      <c r="A13" s="46" t="s">
        <v>25</v>
      </c>
      <c r="B13" s="209">
        <f>+$B$9*1000/('TOMA DE DATOS'!$B$5*365)</f>
        <v>106.94954894754427</v>
      </c>
      <c r="C13" s="209"/>
      <c r="D13" s="210"/>
      <c r="E13" s="129" t="s">
        <v>30</v>
      </c>
      <c r="F13" s="130">
        <f>+'REPARTO COSTOS'!H7/'TOMA DE DATOS'!B5</f>
        <v>398.9878048780488</v>
      </c>
    </row>
    <row r="14" spans="1:6" ht="19.5" customHeight="1">
      <c r="A14" s="202" t="s">
        <v>71</v>
      </c>
      <c r="B14" s="203"/>
      <c r="C14" s="203"/>
      <c r="D14" s="203"/>
      <c r="E14" s="136" t="s">
        <v>219</v>
      </c>
      <c r="F14" s="133"/>
    </row>
    <row r="15" spans="1:6" ht="19.5" customHeight="1">
      <c r="A15" s="47" t="s">
        <v>26</v>
      </c>
      <c r="B15" s="197">
        <f>IF('TOMA DE DATOS'!B7&gt;0,IF(C8&gt;0,+C8/'TOMA DE DATOS'!B7,"NO"),"NO")</f>
        <v>24.74939024390244</v>
      </c>
      <c r="C15" s="197"/>
      <c r="D15" s="197"/>
      <c r="E15" s="132" t="s">
        <v>214</v>
      </c>
      <c r="F15" s="148">
        <f>+F12/12</f>
        <v>14.14944105691057</v>
      </c>
    </row>
    <row r="16" spans="1:6" ht="19.5" customHeight="1" thickBot="1">
      <c r="A16" s="46" t="s">
        <v>27</v>
      </c>
      <c r="B16" s="209">
        <f>+IF('TOMA DE DATOS'!B7&gt;0,C9/'TOMA DE DATOS'!B7,"NO")</f>
        <v>21.410118279862314</v>
      </c>
      <c r="C16" s="209"/>
      <c r="D16" s="209"/>
      <c r="E16" s="127" t="s">
        <v>215</v>
      </c>
      <c r="F16" s="149">
        <f>+F13/12</f>
        <v>33.2489837398374</v>
      </c>
    </row>
    <row r="17" spans="1:3" ht="19.5" customHeight="1">
      <c r="A17" s="5"/>
      <c r="B17" s="5"/>
      <c r="C17" s="5"/>
    </row>
    <row r="18" spans="1:5" ht="19.5" customHeight="1">
      <c r="A18" s="5"/>
      <c r="B18" s="5"/>
      <c r="C18" s="5"/>
      <c r="E18" s="76"/>
    </row>
    <row r="19" spans="1:3" ht="19.5" customHeight="1">
      <c r="A19" s="5"/>
      <c r="B19" s="5"/>
      <c r="C19" s="5"/>
    </row>
    <row r="20" ht="19.5" customHeight="1">
      <c r="E20" s="76"/>
    </row>
  </sheetData>
  <mergeCells count="13">
    <mergeCell ref="B13:D13"/>
    <mergeCell ref="B15:D15"/>
    <mergeCell ref="B16:D16"/>
    <mergeCell ref="A14:D14"/>
    <mergeCell ref="B1:F1"/>
    <mergeCell ref="E5:F5"/>
    <mergeCell ref="E8:F8"/>
    <mergeCell ref="E4:F4"/>
    <mergeCell ref="B11:D11"/>
    <mergeCell ref="B12:D12"/>
    <mergeCell ref="B3:F3"/>
    <mergeCell ref="B2:F2"/>
    <mergeCell ref="A10:D10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11.421875" defaultRowHeight="19.5" customHeight="1"/>
  <cols>
    <col min="1" max="1" width="30.7109375" style="11" customWidth="1"/>
    <col min="2" max="2" width="15.7109375" style="3" customWidth="1"/>
    <col min="3" max="6" width="15.7109375" style="2" customWidth="1"/>
    <col min="7" max="7" width="15.7109375" style="3" customWidth="1"/>
    <col min="8" max="8" width="20.7109375" style="3" customWidth="1"/>
    <col min="9" max="12" width="20.7109375" style="2" customWidth="1"/>
    <col min="13" max="13" width="20.7109375" style="4" customWidth="1"/>
    <col min="14" max="14" width="20.7109375" style="3" customWidth="1"/>
    <col min="15" max="15" width="20.7109375" style="2" customWidth="1"/>
    <col min="16" max="17" width="20.7109375" style="5" customWidth="1"/>
    <col min="18" max="18" width="20.7109375" style="2" customWidth="1"/>
    <col min="19" max="16384" width="20.7109375" style="5" customWidth="1"/>
  </cols>
  <sheetData>
    <row r="1" spans="1:5" ht="19.5" customHeight="1">
      <c r="A1" s="211" t="s">
        <v>101</v>
      </c>
      <c r="B1" s="211"/>
      <c r="C1" s="211"/>
      <c r="D1" s="211"/>
      <c r="E1" s="113"/>
    </row>
    <row r="2" spans="1:5" ht="19.5" customHeight="1">
      <c r="A2" s="218" t="s">
        <v>102</v>
      </c>
      <c r="B2" s="211" t="s">
        <v>106</v>
      </c>
      <c r="C2" s="211"/>
      <c r="D2" s="211"/>
      <c r="E2" s="114"/>
    </row>
    <row r="3" spans="1:5" ht="19.5" customHeight="1">
      <c r="A3" s="218"/>
      <c r="B3" s="15" t="s">
        <v>104</v>
      </c>
      <c r="C3" s="15" t="s">
        <v>103</v>
      </c>
      <c r="D3" s="15" t="s">
        <v>105</v>
      </c>
      <c r="E3" s="114"/>
    </row>
    <row r="4" spans="1:6" ht="19.5" customHeight="1">
      <c r="A4" s="12" t="s">
        <v>32</v>
      </c>
      <c r="B4" s="13">
        <v>0.35</v>
      </c>
      <c r="C4" s="13">
        <v>0.4</v>
      </c>
      <c r="D4" s="13">
        <v>0.45</v>
      </c>
      <c r="E4" s="5"/>
      <c r="F4" s="5"/>
    </row>
    <row r="5" spans="1:6" ht="19.5" customHeight="1">
      <c r="A5" s="12" t="s">
        <v>33</v>
      </c>
      <c r="B5" s="13">
        <v>0.4</v>
      </c>
      <c r="C5" s="13">
        <v>0.45</v>
      </c>
      <c r="D5" s="13">
        <v>0.5</v>
      </c>
      <c r="E5" s="5"/>
      <c r="F5" s="5"/>
    </row>
    <row r="6" spans="1:6" ht="19.5" customHeight="1">
      <c r="A6" s="12" t="s">
        <v>34</v>
      </c>
      <c r="B6" s="13">
        <v>0.5</v>
      </c>
      <c r="C6" s="13">
        <v>0.55</v>
      </c>
      <c r="D6" s="13">
        <v>0.6</v>
      </c>
      <c r="E6" s="5"/>
      <c r="F6" s="5"/>
    </row>
    <row r="7" spans="1:6" ht="19.5" customHeight="1">
      <c r="A7" s="12" t="s">
        <v>35</v>
      </c>
      <c r="B7" s="13">
        <v>0.55</v>
      </c>
      <c r="C7" s="13">
        <v>0.6</v>
      </c>
      <c r="D7" s="13">
        <v>0.65</v>
      </c>
      <c r="E7" s="5"/>
      <c r="F7" s="5"/>
    </row>
    <row r="8" spans="1:7" ht="19.5" customHeight="1">
      <c r="A8" s="12" t="s">
        <v>36</v>
      </c>
      <c r="B8" s="13">
        <v>0.6</v>
      </c>
      <c r="C8" s="13">
        <v>0.65</v>
      </c>
      <c r="D8" s="13">
        <v>0.7</v>
      </c>
      <c r="E8" s="5"/>
      <c r="F8" s="5"/>
      <c r="G8" s="5"/>
    </row>
    <row r="9" spans="1:7" ht="19.5" customHeight="1">
      <c r="A9" s="218" t="s">
        <v>102</v>
      </c>
      <c r="B9" s="217" t="s">
        <v>107</v>
      </c>
      <c r="C9" s="217"/>
      <c r="D9" s="217"/>
      <c r="E9" s="115"/>
      <c r="F9" s="91"/>
      <c r="G9" s="91"/>
    </row>
    <row r="10" spans="1:7" ht="19.5" customHeight="1">
      <c r="A10" s="218"/>
      <c r="B10" s="15" t="s">
        <v>104</v>
      </c>
      <c r="C10" s="15" t="s">
        <v>103</v>
      </c>
      <c r="D10" s="15" t="s">
        <v>105</v>
      </c>
      <c r="E10" s="115"/>
      <c r="F10" s="91"/>
      <c r="G10" s="91"/>
    </row>
    <row r="11" spans="1:7" ht="19.5" customHeight="1">
      <c r="A11" s="12" t="s">
        <v>32</v>
      </c>
      <c r="B11" s="13">
        <v>0.45</v>
      </c>
      <c r="C11" s="13">
        <v>0.5</v>
      </c>
      <c r="D11" s="13">
        <v>0.55</v>
      </c>
      <c r="E11" s="5"/>
      <c r="F11" s="91"/>
      <c r="G11" s="91"/>
    </row>
    <row r="12" spans="1:7" ht="19.5" customHeight="1">
      <c r="A12" s="12" t="s">
        <v>33</v>
      </c>
      <c r="B12" s="13">
        <v>0.5</v>
      </c>
      <c r="C12" s="13">
        <v>0.55</v>
      </c>
      <c r="D12" s="13">
        <v>0.6</v>
      </c>
      <c r="E12" s="5"/>
      <c r="F12" s="91"/>
      <c r="G12" s="91"/>
    </row>
    <row r="13" spans="1:7" ht="19.5" customHeight="1">
      <c r="A13" s="12" t="s">
        <v>34</v>
      </c>
      <c r="B13" s="13">
        <v>0.6</v>
      </c>
      <c r="C13" s="13">
        <v>0.65</v>
      </c>
      <c r="D13" s="13">
        <v>0.7</v>
      </c>
      <c r="E13" s="5"/>
      <c r="F13" s="91"/>
      <c r="G13" s="91"/>
    </row>
    <row r="14" spans="1:7" ht="19.5" customHeight="1">
      <c r="A14" s="12" t="s">
        <v>35</v>
      </c>
      <c r="B14" s="13">
        <v>0.65</v>
      </c>
      <c r="C14" s="13">
        <v>0.7</v>
      </c>
      <c r="D14" s="13">
        <v>0.75</v>
      </c>
      <c r="E14" s="5"/>
      <c r="F14" s="91"/>
      <c r="G14" s="91"/>
    </row>
    <row r="15" spans="1:7" ht="19.5" customHeight="1">
      <c r="A15" s="12" t="s">
        <v>36</v>
      </c>
      <c r="B15" s="13">
        <v>0.7</v>
      </c>
      <c r="C15" s="13">
        <v>0.75</v>
      </c>
      <c r="D15" s="13">
        <v>0.8</v>
      </c>
      <c r="E15" s="5"/>
      <c r="F15" s="91"/>
      <c r="G15" s="91"/>
    </row>
    <row r="16" spans="1:18" ht="19.5" customHeight="1">
      <c r="A16" s="214" t="s">
        <v>100</v>
      </c>
      <c r="B16" s="215"/>
      <c r="C16" s="215"/>
      <c r="D16" s="91"/>
      <c r="E16" s="3"/>
      <c r="G16" s="2"/>
      <c r="H16" s="2"/>
      <c r="J16" s="4"/>
      <c r="K16" s="3"/>
      <c r="M16" s="5"/>
      <c r="N16" s="5"/>
      <c r="R16" s="5"/>
    </row>
    <row r="17" spans="1:18" ht="19.5" customHeight="1">
      <c r="A17" s="216" t="s">
        <v>31</v>
      </c>
      <c r="B17" s="212" t="s">
        <v>37</v>
      </c>
      <c r="C17" s="213"/>
      <c r="D17" s="3"/>
      <c r="E17" s="3"/>
      <c r="G17" s="2"/>
      <c r="H17" s="2"/>
      <c r="J17" s="4"/>
      <c r="K17" s="3"/>
      <c r="M17" s="5"/>
      <c r="N17" s="5"/>
      <c r="R17" s="5"/>
    </row>
    <row r="18" spans="1:18" ht="19.5" customHeight="1">
      <c r="A18" s="216"/>
      <c r="B18" s="144" t="s">
        <v>5</v>
      </c>
      <c r="C18" s="14" t="s">
        <v>12</v>
      </c>
      <c r="D18" s="3"/>
      <c r="E18" s="3"/>
      <c r="G18" s="2"/>
      <c r="H18" s="2"/>
      <c r="J18" s="4"/>
      <c r="K18" s="3"/>
      <c r="M18" s="5"/>
      <c r="N18" s="5"/>
      <c r="R18" s="5"/>
    </row>
    <row r="19" spans="1:18" ht="19.5" customHeight="1">
      <c r="A19" s="12" t="s">
        <v>32</v>
      </c>
      <c r="B19" s="13">
        <v>0.25</v>
      </c>
      <c r="C19" s="13">
        <v>0.4</v>
      </c>
      <c r="D19" s="3"/>
      <c r="E19" s="3"/>
      <c r="G19" s="2"/>
      <c r="H19" s="2"/>
      <c r="J19" s="4"/>
      <c r="K19" s="3"/>
      <c r="M19" s="5"/>
      <c r="N19" s="5"/>
      <c r="R19" s="5"/>
    </row>
    <row r="20" spans="1:18" ht="19.5" customHeight="1">
      <c r="A20" s="12" t="s">
        <v>33</v>
      </c>
      <c r="B20" s="13">
        <v>0.3</v>
      </c>
      <c r="C20" s="13">
        <v>0.4</v>
      </c>
      <c r="D20" s="3"/>
      <c r="E20" s="3"/>
      <c r="G20" s="2"/>
      <c r="H20" s="2"/>
      <c r="J20" s="4"/>
      <c r="K20" s="3"/>
      <c r="M20" s="5"/>
      <c r="N20" s="5"/>
      <c r="R20" s="5"/>
    </row>
    <row r="21" spans="1:18" ht="19.5" customHeight="1">
      <c r="A21" s="12" t="s">
        <v>34</v>
      </c>
      <c r="B21" s="13">
        <v>0.4</v>
      </c>
      <c r="C21" s="13">
        <v>0.5</v>
      </c>
      <c r="D21" s="3"/>
      <c r="E21" s="3"/>
      <c r="G21" s="2"/>
      <c r="H21" s="2"/>
      <c r="J21" s="4"/>
      <c r="K21" s="3"/>
      <c r="M21" s="5"/>
      <c r="N21" s="5"/>
      <c r="R21" s="5"/>
    </row>
    <row r="22" spans="1:18" ht="19.5" customHeight="1">
      <c r="A22" s="12" t="s">
        <v>35</v>
      </c>
      <c r="B22" s="13">
        <v>0.45</v>
      </c>
      <c r="C22" s="13">
        <v>0.5</v>
      </c>
      <c r="D22" s="3"/>
      <c r="E22" s="3"/>
      <c r="G22" s="2"/>
      <c r="H22" s="2"/>
      <c r="J22" s="4"/>
      <c r="K22" s="3"/>
      <c r="M22" s="5"/>
      <c r="N22" s="5"/>
      <c r="R22" s="5"/>
    </row>
    <row r="23" spans="1:18" ht="19.5" customHeight="1">
      <c r="A23" s="12" t="s">
        <v>36</v>
      </c>
      <c r="B23" s="13">
        <v>0.5</v>
      </c>
      <c r="C23" s="13">
        <v>0.5</v>
      </c>
      <c r="D23" s="3"/>
      <c r="E23" s="3"/>
      <c r="G23" s="2"/>
      <c r="H23" s="2"/>
      <c r="J23" s="4"/>
      <c r="K23" s="3"/>
      <c r="M23" s="5"/>
      <c r="N23" s="5"/>
      <c r="R23" s="5"/>
    </row>
    <row r="24" spans="1:5" ht="19.5" customHeight="1">
      <c r="A24" s="84"/>
      <c r="B24" s="84" t="s">
        <v>0</v>
      </c>
      <c r="C24" s="57" t="s">
        <v>93</v>
      </c>
      <c r="D24" s="57" t="s">
        <v>14</v>
      </c>
      <c r="E24" s="57" t="s">
        <v>14</v>
      </c>
    </row>
    <row r="25" spans="1:5" ht="19.5" customHeight="1">
      <c r="A25" s="57">
        <v>1</v>
      </c>
      <c r="B25" s="85" t="s">
        <v>91</v>
      </c>
      <c r="C25" s="6">
        <v>1</v>
      </c>
      <c r="D25" s="6" t="s">
        <v>4</v>
      </c>
      <c r="E25" s="6" t="s">
        <v>94</v>
      </c>
    </row>
    <row r="26" spans="1:5" ht="19.5" customHeight="1">
      <c r="A26" s="57">
        <v>2</v>
      </c>
      <c r="B26" s="85" t="s">
        <v>19</v>
      </c>
      <c r="C26" s="88">
        <v>10.116279069767442</v>
      </c>
      <c r="D26" s="6" t="s">
        <v>95</v>
      </c>
      <c r="E26" s="6" t="s">
        <v>20</v>
      </c>
    </row>
    <row r="27" spans="1:5" ht="19.5" customHeight="1">
      <c r="A27" s="86"/>
      <c r="B27" s="87"/>
      <c r="C27" s="56"/>
      <c r="D27" s="56"/>
      <c r="E27" s="56"/>
    </row>
    <row r="28" spans="1:4" ht="19.5" customHeight="1">
      <c r="A28" s="118" t="s">
        <v>204</v>
      </c>
      <c r="B28" s="116">
        <v>1</v>
      </c>
      <c r="C28" s="116">
        <v>2</v>
      </c>
      <c r="D28" s="116">
        <v>3</v>
      </c>
    </row>
    <row r="29" spans="1:4" ht="19.5" customHeight="1">
      <c r="A29" s="120" t="s">
        <v>32</v>
      </c>
      <c r="B29" s="119">
        <f>+IF('TOMA DE DATOS'!$D$8=1,'% ZONAS'!C29,'% ZONAS'!D29)</f>
        <v>0.35</v>
      </c>
      <c r="C29" s="117">
        <f>LOOKUP('TOMA DE DATOS'!$D$6,B$28:D$28,$B4:$D4)</f>
        <v>0.35</v>
      </c>
      <c r="D29" s="117">
        <f>LOOKUP('TOMA DE DATOS'!$D$6,B$28:D$28,$B11:$D11)</f>
        <v>0.45</v>
      </c>
    </row>
    <row r="30" spans="1:4" ht="19.5" customHeight="1">
      <c r="A30" s="120" t="s">
        <v>33</v>
      </c>
      <c r="B30" s="119">
        <f>+IF('TOMA DE DATOS'!$D$8=1,'% ZONAS'!C30,'% ZONAS'!D30)</f>
        <v>0.4</v>
      </c>
      <c r="C30" s="117">
        <f>LOOKUP('TOMA DE DATOS'!$D$6,B$28:D$28,$B5:$D5)</f>
        <v>0.4</v>
      </c>
      <c r="D30" s="117">
        <f>LOOKUP('TOMA DE DATOS'!$D$6,B$28:D$28,$B12:$D12)</f>
        <v>0.5</v>
      </c>
    </row>
    <row r="31" spans="1:4" ht="19.5" customHeight="1">
      <c r="A31" s="120" t="s">
        <v>34</v>
      </c>
      <c r="B31" s="119">
        <f>+IF('TOMA DE DATOS'!$D$8=1,'% ZONAS'!C31,'% ZONAS'!D31)</f>
        <v>0.5</v>
      </c>
      <c r="C31" s="117">
        <f>LOOKUP('TOMA DE DATOS'!$D$6,B$28:D$28,$B6:$D6)</f>
        <v>0.5</v>
      </c>
      <c r="D31" s="117">
        <f>LOOKUP('TOMA DE DATOS'!$D$6,B$28:D$28,$B13:$D13)</f>
        <v>0.6</v>
      </c>
    </row>
    <row r="32" spans="1:4" ht="19.5" customHeight="1">
      <c r="A32" s="120" t="s">
        <v>35</v>
      </c>
      <c r="B32" s="119">
        <f>+IF('TOMA DE DATOS'!$D$8=1,'% ZONAS'!C32,'% ZONAS'!D32)</f>
        <v>0.55</v>
      </c>
      <c r="C32" s="117">
        <f>LOOKUP('TOMA DE DATOS'!$D$6,B$28:D$28,$B7:$D7)</f>
        <v>0.55</v>
      </c>
      <c r="D32" s="117">
        <f>LOOKUP('TOMA DE DATOS'!$D$6,B$28:D$28,$B14:$D14)</f>
        <v>0.65</v>
      </c>
    </row>
    <row r="33" spans="1:4" ht="19.5" customHeight="1">
      <c r="A33" s="120" t="s">
        <v>36</v>
      </c>
      <c r="B33" s="119">
        <f>+IF('TOMA DE DATOS'!$D$8=1,'% ZONAS'!C33,'% ZONAS'!D33)</f>
        <v>0.6</v>
      </c>
      <c r="C33" s="117">
        <f>LOOKUP('TOMA DE DATOS'!$D$6,B$28:D$28,$B8:$D8)</f>
        <v>0.6</v>
      </c>
      <c r="D33" s="117">
        <f>LOOKUP('TOMA DE DATOS'!$D$6,B$28:D$28,$B15:$D15)</f>
        <v>0.7</v>
      </c>
    </row>
  </sheetData>
  <mergeCells count="8">
    <mergeCell ref="A1:D1"/>
    <mergeCell ref="B17:C17"/>
    <mergeCell ref="A16:C16"/>
    <mergeCell ref="A17:A18"/>
    <mergeCell ref="B2:D2"/>
    <mergeCell ref="B9:D9"/>
    <mergeCell ref="A9:A10"/>
    <mergeCell ref="A2:A3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workbookViewId="0" topLeftCell="A1">
      <pane xSplit="2" ySplit="3" topLeftCell="E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11.421875" defaultRowHeight="19.5" customHeight="1"/>
  <cols>
    <col min="1" max="1" width="6.7109375" style="100" customWidth="1"/>
    <col min="2" max="2" width="20.7109375" style="110" customWidth="1"/>
    <col min="3" max="6" width="8.7109375" style="103" customWidth="1"/>
    <col min="7" max="7" width="10.7109375" style="103" customWidth="1"/>
    <col min="8" max="19" width="6.7109375" style="100" customWidth="1"/>
    <col min="20" max="20" width="8.7109375" style="100" customWidth="1"/>
    <col min="21" max="16384" width="10.7109375" style="100" customWidth="1"/>
  </cols>
  <sheetData>
    <row r="1" spans="1:20" ht="19.5" customHeight="1" hidden="1">
      <c r="A1" s="96"/>
      <c r="B1" s="97"/>
      <c r="C1" s="98"/>
      <c r="D1" s="98"/>
      <c r="E1" s="98"/>
      <c r="F1" s="98"/>
      <c r="G1" s="98"/>
      <c r="H1" s="99">
        <v>31</v>
      </c>
      <c r="I1" s="99">
        <v>28</v>
      </c>
      <c r="J1" s="99">
        <v>31</v>
      </c>
      <c r="K1" s="99">
        <v>30</v>
      </c>
      <c r="L1" s="99">
        <v>31</v>
      </c>
      <c r="M1" s="99">
        <v>30</v>
      </c>
      <c r="N1" s="99">
        <v>31</v>
      </c>
      <c r="O1" s="99">
        <v>31</v>
      </c>
      <c r="P1" s="99">
        <v>30</v>
      </c>
      <c r="Q1" s="99">
        <v>31</v>
      </c>
      <c r="R1" s="99">
        <v>30</v>
      </c>
      <c r="S1" s="99">
        <v>31</v>
      </c>
      <c r="T1" s="98">
        <f>+SUM(H1:S1)</f>
        <v>365</v>
      </c>
    </row>
    <row r="2" spans="1:20" ht="19.5" customHeight="1">
      <c r="A2" s="96"/>
      <c r="B2" s="227" t="s">
        <v>111</v>
      </c>
      <c r="C2" s="229" t="s">
        <v>112</v>
      </c>
      <c r="D2" s="223" t="s">
        <v>113</v>
      </c>
      <c r="E2" s="101"/>
      <c r="F2" s="225" t="s">
        <v>202</v>
      </c>
      <c r="G2" s="225" t="s">
        <v>114</v>
      </c>
      <c r="H2" s="220" t="s">
        <v>115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</row>
    <row r="3" spans="1:20" s="103" customFormat="1" ht="19.5" customHeight="1">
      <c r="A3" s="96"/>
      <c r="B3" s="228"/>
      <c r="C3" s="230"/>
      <c r="D3" s="224"/>
      <c r="E3" s="102"/>
      <c r="F3" s="226"/>
      <c r="G3" s="226"/>
      <c r="H3" s="98" t="s">
        <v>116</v>
      </c>
      <c r="I3" s="98" t="s">
        <v>117</v>
      </c>
      <c r="J3" s="98" t="s">
        <v>118</v>
      </c>
      <c r="K3" s="98" t="s">
        <v>119</v>
      </c>
      <c r="L3" s="98" t="s">
        <v>120</v>
      </c>
      <c r="M3" s="98" t="s">
        <v>121</v>
      </c>
      <c r="N3" s="98" t="s">
        <v>122</v>
      </c>
      <c r="O3" s="98" t="s">
        <v>123</v>
      </c>
      <c r="P3" s="98" t="s">
        <v>124</v>
      </c>
      <c r="Q3" s="98" t="s">
        <v>125</v>
      </c>
      <c r="R3" s="98" t="s">
        <v>126</v>
      </c>
      <c r="S3" s="98" t="s">
        <v>127</v>
      </c>
      <c r="T3" s="98" t="s">
        <v>128</v>
      </c>
    </row>
    <row r="4" spans="1:20" ht="19.5" customHeight="1">
      <c r="A4" s="96">
        <v>1</v>
      </c>
      <c r="B4" s="97" t="s">
        <v>198</v>
      </c>
      <c r="C4" s="106" t="s">
        <v>144</v>
      </c>
      <c r="D4" s="106" t="s">
        <v>35</v>
      </c>
      <c r="E4" s="106" t="s">
        <v>171</v>
      </c>
      <c r="F4" s="106">
        <v>9.265753424657534</v>
      </c>
      <c r="G4" s="106">
        <v>-4</v>
      </c>
      <c r="H4" s="107">
        <v>4.6</v>
      </c>
      <c r="I4" s="107">
        <v>6</v>
      </c>
      <c r="J4" s="107">
        <v>7.2</v>
      </c>
      <c r="K4" s="107">
        <v>9.2</v>
      </c>
      <c r="L4" s="107">
        <v>12.4</v>
      </c>
      <c r="M4" s="107">
        <v>15.6</v>
      </c>
      <c r="N4" s="107">
        <v>18.3</v>
      </c>
      <c r="O4" s="107">
        <v>18.5</v>
      </c>
      <c r="P4" s="107">
        <v>16.5</v>
      </c>
      <c r="Q4" s="107">
        <v>12.7</v>
      </c>
      <c r="R4" s="107">
        <v>7.5</v>
      </c>
      <c r="S4" s="107">
        <v>5</v>
      </c>
      <c r="T4" s="98">
        <f aca="true" t="shared" si="0" ref="T4:T35">SUMPRODUCT(H$1:S$1,H4:S4)/T$1</f>
        <v>11.155342465753424</v>
      </c>
    </row>
    <row r="5" spans="1:20" ht="19.5" customHeight="1">
      <c r="A5" s="96">
        <v>2</v>
      </c>
      <c r="B5" s="97" t="s">
        <v>129</v>
      </c>
      <c r="C5" s="104" t="s">
        <v>130</v>
      </c>
      <c r="D5" s="104" t="s">
        <v>35</v>
      </c>
      <c r="E5" s="104" t="s">
        <v>131</v>
      </c>
      <c r="F5" s="104">
        <v>9.265753424657534</v>
      </c>
      <c r="G5" s="104">
        <v>-3.7</v>
      </c>
      <c r="H5" s="105">
        <v>5</v>
      </c>
      <c r="I5" s="105">
        <v>6.3</v>
      </c>
      <c r="J5" s="105">
        <v>8.5</v>
      </c>
      <c r="K5" s="105">
        <v>10.9</v>
      </c>
      <c r="L5" s="105">
        <v>15.3</v>
      </c>
      <c r="M5" s="105">
        <v>20</v>
      </c>
      <c r="N5" s="105">
        <v>24</v>
      </c>
      <c r="O5" s="105">
        <v>23.7</v>
      </c>
      <c r="P5" s="105">
        <v>20</v>
      </c>
      <c r="Q5" s="105">
        <v>14.1</v>
      </c>
      <c r="R5" s="105">
        <v>8.5</v>
      </c>
      <c r="S5" s="105">
        <v>5.3</v>
      </c>
      <c r="T5" s="98">
        <f t="shared" si="0"/>
        <v>13.51041095890411</v>
      </c>
    </row>
    <row r="6" spans="1:20" ht="19.5" customHeight="1">
      <c r="A6" s="96">
        <v>3</v>
      </c>
      <c r="B6" s="97" t="s">
        <v>132</v>
      </c>
      <c r="C6" s="106" t="s">
        <v>130</v>
      </c>
      <c r="D6" s="106" t="s">
        <v>33</v>
      </c>
      <c r="E6" s="106" t="s">
        <v>133</v>
      </c>
      <c r="F6" s="106">
        <v>12.265753424657534</v>
      </c>
      <c r="G6" s="106">
        <v>3.6</v>
      </c>
      <c r="H6" s="107">
        <v>11.6</v>
      </c>
      <c r="I6" s="107">
        <v>12.4</v>
      </c>
      <c r="J6" s="107">
        <v>13.8</v>
      </c>
      <c r="K6" s="107">
        <v>15.6</v>
      </c>
      <c r="L6" s="107">
        <v>18.6</v>
      </c>
      <c r="M6" s="107">
        <v>22.2</v>
      </c>
      <c r="N6" s="107">
        <v>25</v>
      </c>
      <c r="O6" s="107">
        <v>25.5</v>
      </c>
      <c r="P6" s="107">
        <v>23.2</v>
      </c>
      <c r="Q6" s="107">
        <v>19.2</v>
      </c>
      <c r="R6" s="107">
        <v>15</v>
      </c>
      <c r="S6" s="107">
        <v>12.1</v>
      </c>
      <c r="T6" s="98">
        <f t="shared" si="0"/>
        <v>17.882191780821916</v>
      </c>
    </row>
    <row r="7" spans="1:20" ht="19.5" customHeight="1">
      <c r="A7" s="96">
        <v>4</v>
      </c>
      <c r="B7" s="97" t="s">
        <v>134</v>
      </c>
      <c r="C7" s="104" t="s">
        <v>130</v>
      </c>
      <c r="D7" s="104" t="s">
        <v>32</v>
      </c>
      <c r="E7" s="104" t="s">
        <v>135</v>
      </c>
      <c r="F7" s="104">
        <v>12.265753424657534</v>
      </c>
      <c r="G7" s="104">
        <v>5</v>
      </c>
      <c r="H7" s="105">
        <v>12.4</v>
      </c>
      <c r="I7" s="105">
        <v>13</v>
      </c>
      <c r="J7" s="105">
        <v>14.4</v>
      </c>
      <c r="K7" s="105">
        <v>16.1</v>
      </c>
      <c r="L7" s="105">
        <v>18.7</v>
      </c>
      <c r="M7" s="105">
        <v>22.3</v>
      </c>
      <c r="N7" s="105">
        <v>25.5</v>
      </c>
      <c r="O7" s="105">
        <v>26</v>
      </c>
      <c r="P7" s="105">
        <v>24.1</v>
      </c>
      <c r="Q7" s="105">
        <v>20.1</v>
      </c>
      <c r="R7" s="105">
        <v>16.2</v>
      </c>
      <c r="S7" s="105">
        <v>13.3</v>
      </c>
      <c r="T7" s="98">
        <f t="shared" si="0"/>
        <v>18.54082191780822</v>
      </c>
    </row>
    <row r="8" spans="1:20" ht="19.5" customHeight="1">
      <c r="A8" s="96">
        <v>5</v>
      </c>
      <c r="B8" s="97" t="s">
        <v>194</v>
      </c>
      <c r="C8" s="106" t="s">
        <v>144</v>
      </c>
      <c r="D8" s="106" t="s">
        <v>34</v>
      </c>
      <c r="E8" s="106" t="s">
        <v>145</v>
      </c>
      <c r="F8" s="106">
        <v>10.265753424657534</v>
      </c>
      <c r="G8" s="106">
        <v>0.2</v>
      </c>
      <c r="H8" s="107">
        <v>8.8</v>
      </c>
      <c r="I8" s="107">
        <v>9.6</v>
      </c>
      <c r="J8" s="107">
        <v>10.4</v>
      </c>
      <c r="K8" s="107">
        <v>11.8</v>
      </c>
      <c r="L8" s="107">
        <v>14.6</v>
      </c>
      <c r="M8" s="107">
        <v>17.3</v>
      </c>
      <c r="N8" s="107">
        <v>19.7</v>
      </c>
      <c r="O8" s="107">
        <v>19.9</v>
      </c>
      <c r="P8" s="107">
        <v>18.8</v>
      </c>
      <c r="Q8" s="107">
        <v>16</v>
      </c>
      <c r="R8" s="107">
        <v>11.8</v>
      </c>
      <c r="S8" s="107">
        <v>9.6</v>
      </c>
      <c r="T8" s="98">
        <f t="shared" si="0"/>
        <v>14.05150684931507</v>
      </c>
    </row>
    <row r="9" spans="1:20" ht="19.5" customHeight="1">
      <c r="A9" s="96">
        <v>6</v>
      </c>
      <c r="B9" s="97" t="s">
        <v>136</v>
      </c>
      <c r="C9" s="106" t="s">
        <v>137</v>
      </c>
      <c r="D9" s="106" t="s">
        <v>36</v>
      </c>
      <c r="E9" s="106" t="s">
        <v>138</v>
      </c>
      <c r="F9" s="106">
        <v>8.265753424657534</v>
      </c>
      <c r="G9" s="106">
        <v>-6</v>
      </c>
      <c r="H9" s="107">
        <v>3.1</v>
      </c>
      <c r="I9" s="107">
        <v>4</v>
      </c>
      <c r="J9" s="107">
        <v>5.6</v>
      </c>
      <c r="K9" s="107">
        <v>7.6</v>
      </c>
      <c r="L9" s="107">
        <v>11.5</v>
      </c>
      <c r="M9" s="107">
        <v>16</v>
      </c>
      <c r="N9" s="107">
        <v>19.9</v>
      </c>
      <c r="O9" s="107">
        <v>19.4</v>
      </c>
      <c r="P9" s="107">
        <v>16.5</v>
      </c>
      <c r="Q9" s="107">
        <v>11.2</v>
      </c>
      <c r="R9" s="107">
        <v>6</v>
      </c>
      <c r="S9" s="107">
        <v>3.4</v>
      </c>
      <c r="T9" s="98">
        <f t="shared" si="0"/>
        <v>10.38931506849315</v>
      </c>
    </row>
    <row r="10" spans="1:20" ht="19.5" customHeight="1">
      <c r="A10" s="96">
        <v>7</v>
      </c>
      <c r="B10" s="97" t="s">
        <v>139</v>
      </c>
      <c r="C10" s="104" t="s">
        <v>130</v>
      </c>
      <c r="D10" s="104" t="s">
        <v>34</v>
      </c>
      <c r="E10" s="104" t="s">
        <v>140</v>
      </c>
      <c r="F10" s="104">
        <v>10.265753424657534</v>
      </c>
      <c r="G10" s="104">
        <v>-1</v>
      </c>
      <c r="H10" s="105">
        <v>8.6</v>
      </c>
      <c r="I10" s="105">
        <v>10.1</v>
      </c>
      <c r="J10" s="105">
        <v>12</v>
      </c>
      <c r="K10" s="105">
        <v>14.2</v>
      </c>
      <c r="L10" s="105">
        <v>17.9</v>
      </c>
      <c r="M10" s="105">
        <v>22.3</v>
      </c>
      <c r="N10" s="105">
        <v>25.3</v>
      </c>
      <c r="O10" s="105">
        <v>25</v>
      </c>
      <c r="P10" s="105">
        <v>22.6</v>
      </c>
      <c r="Q10" s="105">
        <v>17.4</v>
      </c>
      <c r="R10" s="105">
        <v>12.2</v>
      </c>
      <c r="S10" s="105">
        <v>9</v>
      </c>
      <c r="T10" s="98">
        <f t="shared" si="0"/>
        <v>16.41917808219178</v>
      </c>
    </row>
    <row r="11" spans="1:20" ht="19.5" customHeight="1">
      <c r="A11" s="96">
        <v>8</v>
      </c>
      <c r="B11" s="97" t="s">
        <v>141</v>
      </c>
      <c r="C11" s="106" t="s">
        <v>142</v>
      </c>
      <c r="D11" s="106" t="s">
        <v>34</v>
      </c>
      <c r="E11" s="106" t="s">
        <v>143</v>
      </c>
      <c r="F11" s="106">
        <v>12.265753424657534</v>
      </c>
      <c r="G11" s="106">
        <v>2</v>
      </c>
      <c r="H11" s="107">
        <v>8.8</v>
      </c>
      <c r="I11" s="107">
        <v>9.6</v>
      </c>
      <c r="J11" s="107">
        <v>11.1</v>
      </c>
      <c r="K11" s="107">
        <v>12.8</v>
      </c>
      <c r="L11" s="107">
        <v>16</v>
      </c>
      <c r="M11" s="107">
        <v>19.7</v>
      </c>
      <c r="N11" s="107">
        <v>22.9</v>
      </c>
      <c r="O11" s="107">
        <v>23</v>
      </c>
      <c r="P11" s="107">
        <v>21.1</v>
      </c>
      <c r="Q11" s="107">
        <v>17.1</v>
      </c>
      <c r="R11" s="107">
        <v>12.5</v>
      </c>
      <c r="S11" s="107">
        <v>9.6</v>
      </c>
      <c r="T11" s="98">
        <f t="shared" si="0"/>
        <v>15.384383561643839</v>
      </c>
    </row>
    <row r="12" spans="1:20" ht="19.5" customHeight="1">
      <c r="A12" s="96">
        <v>9</v>
      </c>
      <c r="B12" s="97" t="s">
        <v>146</v>
      </c>
      <c r="C12" s="106" t="s">
        <v>142</v>
      </c>
      <c r="D12" s="106" t="s">
        <v>36</v>
      </c>
      <c r="E12" s="106" t="s">
        <v>138</v>
      </c>
      <c r="F12" s="106">
        <v>8.265753424657534</v>
      </c>
      <c r="G12" s="106">
        <v>-5.6</v>
      </c>
      <c r="H12" s="107">
        <v>2.6</v>
      </c>
      <c r="I12" s="107">
        <v>3.9</v>
      </c>
      <c r="J12" s="107">
        <v>5.7</v>
      </c>
      <c r="K12" s="107">
        <v>7.6</v>
      </c>
      <c r="L12" s="107">
        <v>11.1</v>
      </c>
      <c r="M12" s="107">
        <v>15</v>
      </c>
      <c r="N12" s="107">
        <v>18.4</v>
      </c>
      <c r="O12" s="107">
        <v>18.3</v>
      </c>
      <c r="P12" s="107">
        <v>15.8</v>
      </c>
      <c r="Q12" s="107">
        <v>11.1</v>
      </c>
      <c r="R12" s="107">
        <v>5.8</v>
      </c>
      <c r="S12" s="107">
        <v>3.2</v>
      </c>
      <c r="T12" s="98">
        <f t="shared" si="0"/>
        <v>9.911232876712328</v>
      </c>
    </row>
    <row r="13" spans="1:20" ht="19.5" customHeight="1">
      <c r="A13" s="96">
        <v>10</v>
      </c>
      <c r="B13" s="97" t="s">
        <v>147</v>
      </c>
      <c r="C13" s="104" t="s">
        <v>130</v>
      </c>
      <c r="D13" s="104" t="s">
        <v>34</v>
      </c>
      <c r="E13" s="104" t="s">
        <v>140</v>
      </c>
      <c r="F13" s="104">
        <v>10.265753424657534</v>
      </c>
      <c r="G13" s="104">
        <v>1.5</v>
      </c>
      <c r="H13" s="105">
        <v>7.8</v>
      </c>
      <c r="I13" s="105">
        <v>9.2</v>
      </c>
      <c r="J13" s="105">
        <v>11.7</v>
      </c>
      <c r="K13" s="105">
        <v>13</v>
      </c>
      <c r="L13" s="105">
        <v>16.6</v>
      </c>
      <c r="M13" s="105">
        <v>22.3</v>
      </c>
      <c r="N13" s="105">
        <v>26.1</v>
      </c>
      <c r="O13" s="105">
        <v>25.4</v>
      </c>
      <c r="P13" s="105">
        <v>23.6</v>
      </c>
      <c r="Q13" s="105">
        <v>17.4</v>
      </c>
      <c r="R13" s="105">
        <v>12</v>
      </c>
      <c r="S13" s="105">
        <v>8.8</v>
      </c>
      <c r="T13" s="98">
        <f t="shared" si="0"/>
        <v>16.19835616438356</v>
      </c>
    </row>
    <row r="14" spans="1:20" ht="19.5" customHeight="1">
      <c r="A14" s="96">
        <v>11</v>
      </c>
      <c r="B14" s="97" t="s">
        <v>148</v>
      </c>
      <c r="C14" s="106" t="s">
        <v>137</v>
      </c>
      <c r="D14" s="106" t="s">
        <v>32</v>
      </c>
      <c r="E14" s="106" t="s">
        <v>149</v>
      </c>
      <c r="F14" s="106">
        <v>12.265753424657534</v>
      </c>
      <c r="G14" s="106">
        <v>0</v>
      </c>
      <c r="H14" s="107">
        <v>12.7</v>
      </c>
      <c r="I14" s="107">
        <v>13.5</v>
      </c>
      <c r="J14" s="107">
        <v>14.7</v>
      </c>
      <c r="K14" s="107">
        <v>16.2</v>
      </c>
      <c r="L14" s="107">
        <v>18.7</v>
      </c>
      <c r="M14" s="107">
        <v>21.5</v>
      </c>
      <c r="N14" s="107">
        <v>24</v>
      </c>
      <c r="O14" s="107">
        <v>24.5</v>
      </c>
      <c r="P14" s="107">
        <v>23.5</v>
      </c>
      <c r="Q14" s="107">
        <v>20.1</v>
      </c>
      <c r="R14" s="107">
        <v>16.1</v>
      </c>
      <c r="S14" s="107">
        <v>13.3</v>
      </c>
      <c r="T14" s="98">
        <f t="shared" si="0"/>
        <v>18.260273972602743</v>
      </c>
    </row>
    <row r="15" spans="1:20" ht="19.5" customHeight="1">
      <c r="A15" s="96">
        <v>12</v>
      </c>
      <c r="B15" s="97" t="s">
        <v>197</v>
      </c>
      <c r="C15" s="106" t="s">
        <v>144</v>
      </c>
      <c r="D15" s="106" t="s">
        <v>34</v>
      </c>
      <c r="E15" s="106" t="s">
        <v>145</v>
      </c>
      <c r="F15" s="106">
        <v>12.265753424657534</v>
      </c>
      <c r="G15" s="106">
        <v>3.8</v>
      </c>
      <c r="H15" s="107">
        <v>8.8</v>
      </c>
      <c r="I15" s="107">
        <v>9.6</v>
      </c>
      <c r="J15" s="107">
        <v>10.4</v>
      </c>
      <c r="K15" s="107">
        <v>11.8</v>
      </c>
      <c r="L15" s="107">
        <v>14.6</v>
      </c>
      <c r="M15" s="107">
        <v>17.3</v>
      </c>
      <c r="N15" s="107">
        <v>19.7</v>
      </c>
      <c r="O15" s="107">
        <v>19.9</v>
      </c>
      <c r="P15" s="107">
        <v>18.8</v>
      </c>
      <c r="Q15" s="107">
        <v>16</v>
      </c>
      <c r="R15" s="107">
        <v>11.8</v>
      </c>
      <c r="S15" s="107">
        <v>9.6</v>
      </c>
      <c r="T15" s="98">
        <f t="shared" si="0"/>
        <v>14.05150684931507</v>
      </c>
    </row>
    <row r="16" spans="1:20" ht="19.5" customHeight="1">
      <c r="A16" s="96">
        <v>13</v>
      </c>
      <c r="B16" s="97" t="s">
        <v>150</v>
      </c>
      <c r="C16" s="104" t="s">
        <v>137</v>
      </c>
      <c r="D16" s="104" t="s">
        <v>33</v>
      </c>
      <c r="E16" s="104" t="s">
        <v>151</v>
      </c>
      <c r="F16" s="104">
        <v>12.265753424657534</v>
      </c>
      <c r="G16" s="104">
        <v>0</v>
      </c>
      <c r="H16" s="105">
        <v>10</v>
      </c>
      <c r="I16" s="105">
        <v>11.1</v>
      </c>
      <c r="J16" s="105">
        <v>12.7</v>
      </c>
      <c r="K16" s="105">
        <v>14.2</v>
      </c>
      <c r="L16" s="105">
        <v>17.2</v>
      </c>
      <c r="M16" s="105">
        <v>21.3</v>
      </c>
      <c r="N16" s="105">
        <v>24.1</v>
      </c>
      <c r="O16" s="105">
        <v>24.4</v>
      </c>
      <c r="P16" s="105">
        <v>22.4</v>
      </c>
      <c r="Q16" s="105">
        <v>18.3</v>
      </c>
      <c r="R16" s="105">
        <v>13.5</v>
      </c>
      <c r="S16" s="105">
        <v>11.2</v>
      </c>
      <c r="T16" s="98">
        <f t="shared" si="0"/>
        <v>16.733424657534247</v>
      </c>
    </row>
    <row r="17" spans="1:20" ht="19.5" customHeight="1">
      <c r="A17" s="96">
        <v>14</v>
      </c>
      <c r="B17" s="97" t="s">
        <v>152</v>
      </c>
      <c r="C17" s="106" t="s">
        <v>130</v>
      </c>
      <c r="D17" s="106" t="s">
        <v>33</v>
      </c>
      <c r="E17" s="106" t="s">
        <v>151</v>
      </c>
      <c r="F17" s="106">
        <v>11.342465753424657</v>
      </c>
      <c r="G17" s="106"/>
      <c r="H17" s="107">
        <v>11.5</v>
      </c>
      <c r="I17" s="107">
        <v>11.6</v>
      </c>
      <c r="J17" s="107">
        <v>12.6</v>
      </c>
      <c r="K17" s="107">
        <v>13.9</v>
      </c>
      <c r="L17" s="107">
        <v>16.3</v>
      </c>
      <c r="M17" s="107">
        <v>18.8</v>
      </c>
      <c r="N17" s="107">
        <v>21.7</v>
      </c>
      <c r="O17" s="107">
        <v>22.2</v>
      </c>
      <c r="P17" s="107">
        <v>20.2</v>
      </c>
      <c r="Q17" s="107">
        <v>17.7</v>
      </c>
      <c r="R17" s="107">
        <v>14.1</v>
      </c>
      <c r="S17" s="107">
        <v>12.1</v>
      </c>
      <c r="T17" s="98">
        <f t="shared" si="0"/>
        <v>16.08739726027397</v>
      </c>
    </row>
    <row r="18" spans="1:20" ht="19.5" customHeight="1">
      <c r="A18" s="96">
        <v>15</v>
      </c>
      <c r="B18" s="97" t="s">
        <v>153</v>
      </c>
      <c r="C18" s="104" t="s">
        <v>137</v>
      </c>
      <c r="D18" s="104" t="s">
        <v>35</v>
      </c>
      <c r="E18" s="104" t="s">
        <v>131</v>
      </c>
      <c r="F18" s="104">
        <v>9.265753424657534</v>
      </c>
      <c r="G18" s="104">
        <v>-3.4</v>
      </c>
      <c r="H18" s="105">
        <v>5.7</v>
      </c>
      <c r="I18" s="105">
        <v>7.2</v>
      </c>
      <c r="J18" s="105">
        <v>9.6</v>
      </c>
      <c r="K18" s="105">
        <v>11.9</v>
      </c>
      <c r="L18" s="105">
        <v>16</v>
      </c>
      <c r="M18" s="105">
        <v>20.8</v>
      </c>
      <c r="N18" s="105">
        <v>25</v>
      </c>
      <c r="O18" s="105">
        <v>24.7</v>
      </c>
      <c r="P18" s="105">
        <v>21</v>
      </c>
      <c r="Q18" s="105">
        <v>14.8</v>
      </c>
      <c r="R18" s="105">
        <v>9.1</v>
      </c>
      <c r="S18" s="105">
        <v>5.9</v>
      </c>
      <c r="T18" s="98">
        <f t="shared" si="0"/>
        <v>14.351506849315069</v>
      </c>
    </row>
    <row r="19" spans="1:20" ht="19.5" customHeight="1">
      <c r="A19" s="96">
        <v>16</v>
      </c>
      <c r="B19" s="97" t="s">
        <v>154</v>
      </c>
      <c r="C19" s="106" t="s">
        <v>137</v>
      </c>
      <c r="D19" s="106" t="s">
        <v>33</v>
      </c>
      <c r="E19" s="106" t="s">
        <v>133</v>
      </c>
      <c r="F19" s="106">
        <v>10.265753424657534</v>
      </c>
      <c r="G19" s="106">
        <v>-0.3</v>
      </c>
      <c r="H19" s="107">
        <v>9.5</v>
      </c>
      <c r="I19" s="107">
        <v>10.9</v>
      </c>
      <c r="J19" s="107">
        <v>13.1</v>
      </c>
      <c r="K19" s="107">
        <v>15.2</v>
      </c>
      <c r="L19" s="107">
        <v>19.2</v>
      </c>
      <c r="M19" s="107">
        <v>23.1</v>
      </c>
      <c r="N19" s="107">
        <v>26.9</v>
      </c>
      <c r="O19" s="107">
        <v>26.8</v>
      </c>
      <c r="P19" s="107">
        <v>23.7</v>
      </c>
      <c r="Q19" s="107">
        <v>18.5</v>
      </c>
      <c r="R19" s="107">
        <v>12.9</v>
      </c>
      <c r="S19" s="107">
        <v>9.7</v>
      </c>
      <c r="T19" s="98">
        <f t="shared" si="0"/>
        <v>17.498356164383562</v>
      </c>
    </row>
    <row r="20" spans="1:20" ht="19.5" customHeight="1">
      <c r="A20" s="96">
        <v>17</v>
      </c>
      <c r="B20" s="97" t="s">
        <v>155</v>
      </c>
      <c r="C20" s="104" t="s">
        <v>144</v>
      </c>
      <c r="D20" s="104" t="s">
        <v>34</v>
      </c>
      <c r="E20" s="104" t="s">
        <v>145</v>
      </c>
      <c r="F20" s="104">
        <v>12.265753424657534</v>
      </c>
      <c r="G20" s="104">
        <v>3.8</v>
      </c>
      <c r="H20" s="105">
        <v>10.2</v>
      </c>
      <c r="I20" s="105">
        <v>10.5</v>
      </c>
      <c r="J20" s="105">
        <v>11.3</v>
      </c>
      <c r="K20" s="105">
        <v>12.1</v>
      </c>
      <c r="L20" s="105">
        <v>14.1</v>
      </c>
      <c r="M20" s="105">
        <v>16.4</v>
      </c>
      <c r="N20" s="105">
        <v>18.4</v>
      </c>
      <c r="O20" s="105">
        <v>18.9</v>
      </c>
      <c r="P20" s="105">
        <v>18.1</v>
      </c>
      <c r="Q20" s="105">
        <v>15.7</v>
      </c>
      <c r="R20" s="105">
        <v>12.7</v>
      </c>
      <c r="S20" s="105">
        <v>10.9</v>
      </c>
      <c r="T20" s="98">
        <f t="shared" si="0"/>
        <v>14.13013698630137</v>
      </c>
    </row>
    <row r="21" spans="1:20" ht="19.5" customHeight="1">
      <c r="A21" s="96">
        <v>18</v>
      </c>
      <c r="B21" s="97" t="s">
        <v>156</v>
      </c>
      <c r="C21" s="106" t="s">
        <v>157</v>
      </c>
      <c r="D21" s="106" t="s">
        <v>34</v>
      </c>
      <c r="E21" s="106" t="s">
        <v>145</v>
      </c>
      <c r="F21" s="106">
        <v>8.265753424657534</v>
      </c>
      <c r="G21" s="106">
        <v>-7</v>
      </c>
      <c r="H21" s="107">
        <v>4.2</v>
      </c>
      <c r="I21" s="107">
        <v>5.2</v>
      </c>
      <c r="J21" s="107">
        <v>7.4</v>
      </c>
      <c r="K21" s="107">
        <v>9.6</v>
      </c>
      <c r="L21" s="107">
        <v>13.6</v>
      </c>
      <c r="M21" s="107">
        <v>18.2</v>
      </c>
      <c r="N21" s="107">
        <v>22.4</v>
      </c>
      <c r="O21" s="107">
        <v>22.1</v>
      </c>
      <c r="P21" s="107">
        <v>18.6</v>
      </c>
      <c r="Q21" s="107">
        <v>12.9</v>
      </c>
      <c r="R21" s="107">
        <v>7.6</v>
      </c>
      <c r="S21" s="107">
        <v>4.8</v>
      </c>
      <c r="T21" s="98">
        <f t="shared" si="0"/>
        <v>12.26027397260274</v>
      </c>
    </row>
    <row r="22" spans="1:20" ht="19.5" customHeight="1">
      <c r="A22" s="96">
        <v>19</v>
      </c>
      <c r="B22" s="97" t="s">
        <v>196</v>
      </c>
      <c r="C22" s="104" t="s">
        <v>144</v>
      </c>
      <c r="D22" s="104" t="s">
        <v>34</v>
      </c>
      <c r="E22" s="104" t="s">
        <v>145</v>
      </c>
      <c r="F22" s="104">
        <v>12.265753424657534</v>
      </c>
      <c r="G22" s="104">
        <v>-1</v>
      </c>
      <c r="H22" s="105">
        <v>7.9</v>
      </c>
      <c r="I22" s="105">
        <v>8.5</v>
      </c>
      <c r="J22" s="105">
        <v>9.4</v>
      </c>
      <c r="K22" s="105">
        <v>10.7</v>
      </c>
      <c r="L22" s="105">
        <v>13.5</v>
      </c>
      <c r="M22" s="105">
        <v>16.1</v>
      </c>
      <c r="N22" s="108">
        <v>18.4</v>
      </c>
      <c r="O22" s="105">
        <v>18.7</v>
      </c>
      <c r="P22" s="105">
        <v>18</v>
      </c>
      <c r="Q22" s="105">
        <v>15.2</v>
      </c>
      <c r="R22" s="108">
        <v>11</v>
      </c>
      <c r="S22" s="108">
        <v>8.5</v>
      </c>
      <c r="T22" s="98">
        <f t="shared" si="0"/>
        <v>13.01808219178082</v>
      </c>
    </row>
    <row r="23" spans="1:20" ht="19.5" customHeight="1">
      <c r="A23" s="96">
        <v>20</v>
      </c>
      <c r="B23" s="97" t="s">
        <v>158</v>
      </c>
      <c r="C23" s="104" t="s">
        <v>157</v>
      </c>
      <c r="D23" s="104" t="s">
        <v>34</v>
      </c>
      <c r="E23" s="104" t="s">
        <v>143</v>
      </c>
      <c r="F23" s="104">
        <v>10.265753424657534</v>
      </c>
      <c r="G23" s="104">
        <v>-3</v>
      </c>
      <c r="H23" s="105">
        <v>6.8</v>
      </c>
      <c r="I23" s="105">
        <v>7.9</v>
      </c>
      <c r="J23" s="108">
        <v>9.8</v>
      </c>
      <c r="K23" s="105">
        <v>11.6</v>
      </c>
      <c r="L23" s="105">
        <v>15.3</v>
      </c>
      <c r="M23" s="105">
        <v>19.4</v>
      </c>
      <c r="N23" s="105">
        <v>22.8</v>
      </c>
      <c r="O23" s="105">
        <v>22.4</v>
      </c>
      <c r="P23" s="105">
        <v>19.9</v>
      </c>
      <c r="Q23" s="105">
        <v>15.2</v>
      </c>
      <c r="R23" s="105">
        <v>10.2</v>
      </c>
      <c r="S23" s="105">
        <v>7.7</v>
      </c>
      <c r="T23" s="98">
        <f t="shared" si="0"/>
        <v>14.121095890410958</v>
      </c>
    </row>
    <row r="24" spans="1:20" ht="19.5" customHeight="1">
      <c r="A24" s="96">
        <v>21</v>
      </c>
      <c r="B24" s="97" t="s">
        <v>159</v>
      </c>
      <c r="C24" s="106" t="s">
        <v>137</v>
      </c>
      <c r="D24" s="106" t="s">
        <v>34</v>
      </c>
      <c r="E24" s="106" t="s">
        <v>160</v>
      </c>
      <c r="F24" s="106">
        <v>10.265753424657534</v>
      </c>
      <c r="G24" s="106">
        <v>-2</v>
      </c>
      <c r="H24" s="107">
        <v>6.5</v>
      </c>
      <c r="I24" s="107">
        <v>8.4</v>
      </c>
      <c r="J24" s="107">
        <v>10.5</v>
      </c>
      <c r="K24" s="107">
        <v>12.4</v>
      </c>
      <c r="L24" s="107">
        <v>16.3</v>
      </c>
      <c r="M24" s="107">
        <v>21.1</v>
      </c>
      <c r="N24" s="109">
        <v>24.3</v>
      </c>
      <c r="O24" s="107">
        <v>24.1</v>
      </c>
      <c r="P24" s="107">
        <v>21.1</v>
      </c>
      <c r="Q24" s="107">
        <v>15.4</v>
      </c>
      <c r="R24" s="109">
        <v>10.6</v>
      </c>
      <c r="S24" s="109">
        <v>7.4</v>
      </c>
      <c r="T24" s="98">
        <f t="shared" si="0"/>
        <v>14.878630136986299</v>
      </c>
    </row>
    <row r="25" spans="1:20" ht="19.5" customHeight="1">
      <c r="A25" s="96">
        <v>22</v>
      </c>
      <c r="B25" s="97" t="s">
        <v>161</v>
      </c>
      <c r="C25" s="104" t="s">
        <v>137</v>
      </c>
      <c r="D25" s="104" t="s">
        <v>35</v>
      </c>
      <c r="E25" s="104" t="s">
        <v>131</v>
      </c>
      <c r="F25" s="104">
        <v>10.265753424657534</v>
      </c>
      <c r="G25" s="104">
        <v>-4</v>
      </c>
      <c r="H25" s="105">
        <v>5.5</v>
      </c>
      <c r="I25" s="105">
        <v>6.8</v>
      </c>
      <c r="J25" s="105">
        <v>8.7</v>
      </c>
      <c r="K25" s="105">
        <v>11.6</v>
      </c>
      <c r="L25" s="105">
        <v>15.3</v>
      </c>
      <c r="M25" s="105">
        <v>19.8</v>
      </c>
      <c r="N25" s="108">
        <v>23.5</v>
      </c>
      <c r="O25" s="105">
        <v>22.8</v>
      </c>
      <c r="P25" s="105">
        <v>19.5</v>
      </c>
      <c r="Q25" s="105">
        <v>14.1</v>
      </c>
      <c r="R25" s="108">
        <v>9</v>
      </c>
      <c r="S25" s="108">
        <v>5.9</v>
      </c>
      <c r="T25" s="98">
        <f t="shared" si="0"/>
        <v>13.581369863013698</v>
      </c>
    </row>
    <row r="26" spans="1:20" ht="19.5" customHeight="1">
      <c r="A26" s="96">
        <v>23</v>
      </c>
      <c r="B26" s="97" t="s">
        <v>162</v>
      </c>
      <c r="C26" s="106" t="s">
        <v>130</v>
      </c>
      <c r="D26" s="106" t="s">
        <v>33</v>
      </c>
      <c r="E26" s="106" t="s">
        <v>133</v>
      </c>
      <c r="F26" s="106">
        <v>12.265753424657534</v>
      </c>
      <c r="G26" s="106">
        <v>1</v>
      </c>
      <c r="H26" s="107">
        <v>12.1</v>
      </c>
      <c r="I26" s="107">
        <v>12.8</v>
      </c>
      <c r="J26" s="107">
        <v>14.4</v>
      </c>
      <c r="K26" s="109">
        <v>16.5</v>
      </c>
      <c r="L26" s="107">
        <v>19.2</v>
      </c>
      <c r="M26" s="107">
        <v>22.2</v>
      </c>
      <c r="N26" s="107">
        <v>25.3</v>
      </c>
      <c r="O26" s="109">
        <v>25.7</v>
      </c>
      <c r="P26" s="109">
        <v>23.7</v>
      </c>
      <c r="Q26" s="109">
        <v>20</v>
      </c>
      <c r="R26" s="109">
        <v>15.4</v>
      </c>
      <c r="S26" s="109">
        <v>12.5</v>
      </c>
      <c r="T26" s="98">
        <f t="shared" si="0"/>
        <v>18.349589041095893</v>
      </c>
    </row>
    <row r="27" spans="1:20" ht="19.5" customHeight="1">
      <c r="A27" s="96">
        <v>24</v>
      </c>
      <c r="B27" s="97" t="s">
        <v>163</v>
      </c>
      <c r="C27" s="104" t="s">
        <v>157</v>
      </c>
      <c r="D27" s="104" t="s">
        <v>35</v>
      </c>
      <c r="E27" s="104" t="s">
        <v>164</v>
      </c>
      <c r="F27" s="104">
        <v>9.265753424657534</v>
      </c>
      <c r="G27" s="104">
        <v>-5</v>
      </c>
      <c r="H27" s="105">
        <v>4.7</v>
      </c>
      <c r="I27" s="105">
        <v>6.7</v>
      </c>
      <c r="J27" s="105">
        <v>9</v>
      </c>
      <c r="K27" s="108">
        <v>11.3</v>
      </c>
      <c r="L27" s="105">
        <v>15.3</v>
      </c>
      <c r="M27" s="105">
        <v>19.5</v>
      </c>
      <c r="N27" s="105">
        <v>23.3</v>
      </c>
      <c r="O27" s="108">
        <v>22.7</v>
      </c>
      <c r="P27" s="108">
        <v>19.7</v>
      </c>
      <c r="Q27" s="108">
        <v>14.6</v>
      </c>
      <c r="R27" s="108">
        <v>8.7</v>
      </c>
      <c r="S27" s="108">
        <v>5.3</v>
      </c>
      <c r="T27" s="98">
        <f t="shared" si="0"/>
        <v>13.43972602739726</v>
      </c>
    </row>
    <row r="28" spans="1:20" ht="19.5" customHeight="1">
      <c r="A28" s="96">
        <v>25</v>
      </c>
      <c r="B28" s="97" t="s">
        <v>165</v>
      </c>
      <c r="C28" s="106" t="s">
        <v>137</v>
      </c>
      <c r="D28" s="106" t="s">
        <v>34</v>
      </c>
      <c r="E28" s="106" t="s">
        <v>140</v>
      </c>
      <c r="F28" s="106">
        <v>12.35068493150685</v>
      </c>
      <c r="G28" s="106">
        <v>0</v>
      </c>
      <c r="H28" s="107">
        <v>8.7</v>
      </c>
      <c r="I28" s="107">
        <v>9.9</v>
      </c>
      <c r="J28" s="107">
        <v>12</v>
      </c>
      <c r="K28" s="109">
        <v>14.2</v>
      </c>
      <c r="L28" s="107">
        <v>18.5</v>
      </c>
      <c r="M28" s="107">
        <v>23.1</v>
      </c>
      <c r="N28" s="107">
        <v>27.2</v>
      </c>
      <c r="O28" s="109">
        <v>27.1</v>
      </c>
      <c r="P28" s="109">
        <v>23.6</v>
      </c>
      <c r="Q28" s="109">
        <v>17.6</v>
      </c>
      <c r="R28" s="109">
        <v>12.2</v>
      </c>
      <c r="S28" s="109">
        <v>8.7</v>
      </c>
      <c r="T28" s="98">
        <f t="shared" si="0"/>
        <v>16.942465753424656</v>
      </c>
    </row>
    <row r="29" spans="1:20" ht="19.5" customHeight="1">
      <c r="A29" s="96">
        <v>26</v>
      </c>
      <c r="B29" s="97" t="s">
        <v>166</v>
      </c>
      <c r="C29" s="104" t="s">
        <v>130</v>
      </c>
      <c r="D29" s="104" t="s">
        <v>32</v>
      </c>
      <c r="E29" s="104" t="s">
        <v>149</v>
      </c>
      <c r="F29" s="104">
        <v>12.265753424657534</v>
      </c>
      <c r="G29" s="104">
        <v>13</v>
      </c>
      <c r="H29" s="108">
        <v>17.5</v>
      </c>
      <c r="I29" s="105">
        <v>17.6</v>
      </c>
      <c r="J29" s="105">
        <v>18.3</v>
      </c>
      <c r="K29" s="108">
        <v>18.7</v>
      </c>
      <c r="L29" s="105">
        <v>19.8</v>
      </c>
      <c r="M29" s="108">
        <v>21.4</v>
      </c>
      <c r="N29" s="108">
        <v>23.2</v>
      </c>
      <c r="O29" s="108">
        <v>24</v>
      </c>
      <c r="P29" s="108">
        <v>23.9</v>
      </c>
      <c r="Q29" s="108">
        <v>22.5</v>
      </c>
      <c r="R29" s="108">
        <v>20.4</v>
      </c>
      <c r="S29" s="108">
        <v>18.3</v>
      </c>
      <c r="T29" s="98">
        <f t="shared" si="0"/>
        <v>20.48328767123288</v>
      </c>
    </row>
    <row r="30" spans="1:20" ht="19.5" customHeight="1">
      <c r="A30" s="96">
        <v>27</v>
      </c>
      <c r="B30" s="97" t="s">
        <v>167</v>
      </c>
      <c r="C30" s="106" t="s">
        <v>157</v>
      </c>
      <c r="D30" s="106" t="s">
        <v>36</v>
      </c>
      <c r="E30" s="106" t="s">
        <v>138</v>
      </c>
      <c r="F30" s="106">
        <v>8.265753424657534</v>
      </c>
      <c r="G30" s="106">
        <v>-6</v>
      </c>
      <c r="H30" s="109">
        <v>3.1</v>
      </c>
      <c r="I30" s="107">
        <v>4.4</v>
      </c>
      <c r="J30" s="107">
        <v>6.6</v>
      </c>
      <c r="K30" s="109">
        <v>8.6</v>
      </c>
      <c r="L30" s="107">
        <v>12.1</v>
      </c>
      <c r="M30" s="109">
        <v>16.3</v>
      </c>
      <c r="N30" s="109">
        <v>19.7</v>
      </c>
      <c r="O30" s="109">
        <v>19.1</v>
      </c>
      <c r="P30" s="109">
        <v>16.7</v>
      </c>
      <c r="Q30" s="109">
        <v>11.8</v>
      </c>
      <c r="R30" s="109">
        <v>6.8</v>
      </c>
      <c r="S30" s="109">
        <v>3.8</v>
      </c>
      <c r="T30" s="98">
        <f t="shared" si="0"/>
        <v>10.787397260273973</v>
      </c>
    </row>
    <row r="31" spans="1:20" ht="19.5" customHeight="1">
      <c r="A31" s="96">
        <v>28</v>
      </c>
      <c r="B31" s="97" t="s">
        <v>168</v>
      </c>
      <c r="C31" s="104" t="s">
        <v>157</v>
      </c>
      <c r="D31" s="104" t="s">
        <v>35</v>
      </c>
      <c r="E31" s="104" t="s">
        <v>131</v>
      </c>
      <c r="F31" s="104">
        <v>9.265753424657534</v>
      </c>
      <c r="G31" s="104">
        <v>-5</v>
      </c>
      <c r="H31" s="108">
        <v>5.5</v>
      </c>
      <c r="I31" s="105">
        <v>7.8</v>
      </c>
      <c r="J31" s="105">
        <v>10.3</v>
      </c>
      <c r="K31" s="108">
        <v>13</v>
      </c>
      <c r="L31" s="105">
        <v>17.1</v>
      </c>
      <c r="M31" s="108">
        <v>21.2</v>
      </c>
      <c r="N31" s="108">
        <v>24.6</v>
      </c>
      <c r="O31" s="108">
        <v>24</v>
      </c>
      <c r="P31" s="108">
        <v>21.1</v>
      </c>
      <c r="Q31" s="108">
        <v>15.7</v>
      </c>
      <c r="R31" s="108">
        <v>9.2</v>
      </c>
      <c r="S31" s="108">
        <v>5.7</v>
      </c>
      <c r="T31" s="98">
        <f t="shared" si="0"/>
        <v>14.639178082191778</v>
      </c>
    </row>
    <row r="32" spans="1:20" ht="19.5" customHeight="1">
      <c r="A32" s="96">
        <v>29</v>
      </c>
      <c r="B32" s="97" t="s">
        <v>169</v>
      </c>
      <c r="C32" s="106" t="s">
        <v>142</v>
      </c>
      <c r="D32" s="106" t="s">
        <v>35</v>
      </c>
      <c r="E32" s="106" t="s">
        <v>164</v>
      </c>
      <c r="F32" s="106">
        <v>10.265753424657534</v>
      </c>
      <c r="G32" s="106">
        <v>-0.6</v>
      </c>
      <c r="H32" s="107">
        <v>5.7</v>
      </c>
      <c r="I32" s="107">
        <v>7.3</v>
      </c>
      <c r="J32" s="107">
        <v>9.4</v>
      </c>
      <c r="K32" s="109">
        <v>11.5</v>
      </c>
      <c r="L32" s="107">
        <v>15.1</v>
      </c>
      <c r="M32" s="107">
        <v>19</v>
      </c>
      <c r="N32" s="107">
        <v>22.2</v>
      </c>
      <c r="O32" s="109">
        <v>21.8</v>
      </c>
      <c r="P32" s="109">
        <v>19.2</v>
      </c>
      <c r="Q32" s="109">
        <v>14.4</v>
      </c>
      <c r="R32" s="109">
        <v>9.2</v>
      </c>
      <c r="S32" s="109">
        <v>6.3</v>
      </c>
      <c r="T32" s="98">
        <f t="shared" si="0"/>
        <v>13.46109589041096</v>
      </c>
    </row>
    <row r="33" spans="1:20" ht="19.5" customHeight="1">
      <c r="A33" s="96">
        <v>30</v>
      </c>
      <c r="B33" s="97" t="s">
        <v>170</v>
      </c>
      <c r="C33" s="104" t="s">
        <v>142</v>
      </c>
      <c r="D33" s="104" t="s">
        <v>35</v>
      </c>
      <c r="E33" s="104" t="s">
        <v>171</v>
      </c>
      <c r="F33" s="104">
        <v>10.265753424657534</v>
      </c>
      <c r="G33" s="104">
        <v>-2</v>
      </c>
      <c r="H33" s="108">
        <v>5.8</v>
      </c>
      <c r="I33" s="105">
        <v>6.5</v>
      </c>
      <c r="J33" s="105">
        <v>7.8</v>
      </c>
      <c r="K33" s="108">
        <v>9.5</v>
      </c>
      <c r="L33" s="105">
        <v>11.7</v>
      </c>
      <c r="M33" s="108">
        <v>14.9</v>
      </c>
      <c r="N33" s="108">
        <v>17.2</v>
      </c>
      <c r="O33" s="108">
        <v>17.5</v>
      </c>
      <c r="P33" s="108">
        <v>16</v>
      </c>
      <c r="Q33" s="108">
        <v>12.5</v>
      </c>
      <c r="R33" s="108">
        <v>8.6</v>
      </c>
      <c r="S33" s="108">
        <v>6.3</v>
      </c>
      <c r="T33" s="98">
        <f t="shared" si="0"/>
        <v>11.218630136986302</v>
      </c>
    </row>
    <row r="34" spans="1:20" ht="19.5" customHeight="1">
      <c r="A34" s="96">
        <v>31</v>
      </c>
      <c r="B34" s="97" t="s">
        <v>172</v>
      </c>
      <c r="C34" s="106" t="s">
        <v>137</v>
      </c>
      <c r="D34" s="106" t="s">
        <v>35</v>
      </c>
      <c r="E34" s="106" t="s">
        <v>131</v>
      </c>
      <c r="F34" s="106">
        <v>12.265753424657534</v>
      </c>
      <c r="G34" s="106">
        <v>-3.4</v>
      </c>
      <c r="H34" s="107">
        <v>6.2</v>
      </c>
      <c r="I34" s="107">
        <v>7.4</v>
      </c>
      <c r="J34" s="107">
        <v>9.9</v>
      </c>
      <c r="K34" s="107">
        <v>12.2</v>
      </c>
      <c r="L34" s="107">
        <v>16</v>
      </c>
      <c r="M34" s="107">
        <v>20.7</v>
      </c>
      <c r="N34" s="107">
        <v>24.4</v>
      </c>
      <c r="O34" s="107">
        <v>23.9</v>
      </c>
      <c r="P34" s="107">
        <v>20.5</v>
      </c>
      <c r="Q34" s="107">
        <v>14.8</v>
      </c>
      <c r="R34" s="107">
        <v>9.4</v>
      </c>
      <c r="S34" s="107">
        <v>6.4</v>
      </c>
      <c r="T34" s="98">
        <f t="shared" si="0"/>
        <v>14.358356164383562</v>
      </c>
    </row>
    <row r="35" spans="1:20" ht="19.5" customHeight="1">
      <c r="A35" s="96">
        <v>32</v>
      </c>
      <c r="B35" s="97" t="s">
        <v>173</v>
      </c>
      <c r="C35" s="104" t="s">
        <v>137</v>
      </c>
      <c r="D35" s="104" t="s">
        <v>32</v>
      </c>
      <c r="E35" s="104" t="s">
        <v>149</v>
      </c>
      <c r="F35" s="104">
        <v>12.265753424657534</v>
      </c>
      <c r="G35" s="104">
        <v>4.3</v>
      </c>
      <c r="H35" s="105">
        <v>12.1</v>
      </c>
      <c r="I35" s="105">
        <v>12.8</v>
      </c>
      <c r="J35" s="105">
        <v>14</v>
      </c>
      <c r="K35" s="105">
        <v>15.8</v>
      </c>
      <c r="L35" s="108">
        <v>18.7</v>
      </c>
      <c r="M35" s="105">
        <v>22.1</v>
      </c>
      <c r="N35" s="105">
        <v>24.7</v>
      </c>
      <c r="O35" s="105">
        <v>25.3</v>
      </c>
      <c r="P35" s="105">
        <v>23.1</v>
      </c>
      <c r="Q35" s="105">
        <v>19.1</v>
      </c>
      <c r="R35" s="105">
        <v>15.1</v>
      </c>
      <c r="S35" s="105">
        <v>12.6</v>
      </c>
      <c r="T35" s="98">
        <f t="shared" si="0"/>
        <v>17.98054794520548</v>
      </c>
    </row>
    <row r="36" spans="1:20" ht="19.5" customHeight="1">
      <c r="A36" s="96">
        <v>33</v>
      </c>
      <c r="B36" s="97" t="s">
        <v>174</v>
      </c>
      <c r="C36" s="106" t="s">
        <v>137</v>
      </c>
      <c r="D36" s="106" t="s">
        <v>33</v>
      </c>
      <c r="E36" s="106" t="s">
        <v>151</v>
      </c>
      <c r="F36" s="106">
        <v>12.265753424657534</v>
      </c>
      <c r="G36" s="106">
        <v>0.3</v>
      </c>
      <c r="H36" s="107">
        <v>11.6</v>
      </c>
      <c r="I36" s="107">
        <v>11.8</v>
      </c>
      <c r="J36" s="107">
        <v>12.9</v>
      </c>
      <c r="K36" s="109">
        <v>14.7</v>
      </c>
      <c r="L36" s="107">
        <v>17.6</v>
      </c>
      <c r="M36" s="107">
        <v>21.8</v>
      </c>
      <c r="N36" s="107">
        <v>24.6</v>
      </c>
      <c r="O36" s="109">
        <v>25.3</v>
      </c>
      <c r="P36" s="109">
        <v>23.5</v>
      </c>
      <c r="Q36" s="109">
        <v>20</v>
      </c>
      <c r="R36" s="109">
        <v>15.6</v>
      </c>
      <c r="S36" s="109">
        <v>13</v>
      </c>
      <c r="T36" s="98">
        <f aca="true" t="shared" si="1" ref="T36:T54">SUMPRODUCT(H$1:S$1,H36:S36)/T$1</f>
        <v>17.735342465753423</v>
      </c>
    </row>
    <row r="37" spans="1:20" ht="19.5" customHeight="1">
      <c r="A37" s="96">
        <v>34</v>
      </c>
      <c r="B37" s="97" t="s">
        <v>175</v>
      </c>
      <c r="C37" s="104" t="s">
        <v>130</v>
      </c>
      <c r="D37" s="104" t="s">
        <v>32</v>
      </c>
      <c r="E37" s="104" t="s">
        <v>149</v>
      </c>
      <c r="F37" s="104">
        <v>12.265753424657534</v>
      </c>
      <c r="G37" s="104"/>
      <c r="H37" s="105">
        <v>13.2</v>
      </c>
      <c r="I37" s="105">
        <v>13.8</v>
      </c>
      <c r="J37" s="105">
        <v>14.6</v>
      </c>
      <c r="K37" s="105">
        <v>15.9</v>
      </c>
      <c r="L37" s="108">
        <v>18.3</v>
      </c>
      <c r="M37" s="105">
        <v>21.5</v>
      </c>
      <c r="N37" s="105">
        <v>24.4</v>
      </c>
      <c r="O37" s="105">
        <v>25.3</v>
      </c>
      <c r="P37" s="105">
        <v>23.5</v>
      </c>
      <c r="Q37" s="105">
        <v>20</v>
      </c>
      <c r="R37" s="105">
        <v>16.6</v>
      </c>
      <c r="S37" s="105">
        <v>14.1</v>
      </c>
      <c r="T37" s="98">
        <f t="shared" si="1"/>
        <v>18.46109589041096</v>
      </c>
    </row>
    <row r="38" spans="1:20" ht="19.5" customHeight="1">
      <c r="A38" s="96">
        <v>35</v>
      </c>
      <c r="B38" s="97" t="s">
        <v>176</v>
      </c>
      <c r="C38" s="106" t="s">
        <v>137</v>
      </c>
      <c r="D38" s="106" t="s">
        <v>33</v>
      </c>
      <c r="E38" s="106" t="s">
        <v>151</v>
      </c>
      <c r="F38" s="106">
        <v>12.265753424657534</v>
      </c>
      <c r="G38" s="106">
        <v>-1</v>
      </c>
      <c r="H38" s="107">
        <v>10.6</v>
      </c>
      <c r="I38" s="107">
        <v>11.4</v>
      </c>
      <c r="J38" s="107">
        <v>12.6</v>
      </c>
      <c r="K38" s="107">
        <v>14.5</v>
      </c>
      <c r="L38" s="109">
        <v>17.4</v>
      </c>
      <c r="M38" s="107">
        <v>21</v>
      </c>
      <c r="N38" s="107">
        <v>23.9</v>
      </c>
      <c r="O38" s="107">
        <v>24.6</v>
      </c>
      <c r="P38" s="107">
        <v>22.6</v>
      </c>
      <c r="Q38" s="107">
        <v>18.7</v>
      </c>
      <c r="R38" s="107">
        <v>14.3</v>
      </c>
      <c r="S38" s="107">
        <v>11.3</v>
      </c>
      <c r="T38" s="98">
        <f t="shared" si="1"/>
        <v>16.94054794520548</v>
      </c>
    </row>
    <row r="39" spans="1:20" ht="19.5" customHeight="1">
      <c r="A39" s="96">
        <v>36</v>
      </c>
      <c r="B39" s="97" t="s">
        <v>195</v>
      </c>
      <c r="C39" s="106" t="s">
        <v>142</v>
      </c>
      <c r="D39" s="106" t="s">
        <v>35</v>
      </c>
      <c r="E39" s="106" t="s">
        <v>171</v>
      </c>
      <c r="F39" s="106">
        <v>9.265753424657534</v>
      </c>
      <c r="G39" s="106">
        <v>-5</v>
      </c>
      <c r="H39" s="107">
        <v>4.5</v>
      </c>
      <c r="I39" s="107">
        <v>6.5</v>
      </c>
      <c r="J39" s="107">
        <v>8</v>
      </c>
      <c r="K39" s="107">
        <v>9.9</v>
      </c>
      <c r="L39" s="109">
        <v>13.3</v>
      </c>
      <c r="M39" s="107">
        <v>17.3</v>
      </c>
      <c r="N39" s="107">
        <v>20.5</v>
      </c>
      <c r="O39" s="107">
        <v>20.3</v>
      </c>
      <c r="P39" s="107">
        <v>18.2</v>
      </c>
      <c r="Q39" s="107">
        <v>13.7</v>
      </c>
      <c r="R39" s="107">
        <v>8.3</v>
      </c>
      <c r="S39" s="107">
        <v>5.7</v>
      </c>
      <c r="T39" s="98">
        <f t="shared" si="1"/>
        <v>12.216438356164383</v>
      </c>
    </row>
    <row r="40" spans="1:20" ht="19.5" customHeight="1">
      <c r="A40" s="96">
        <v>37</v>
      </c>
      <c r="B40" s="97" t="s">
        <v>177</v>
      </c>
      <c r="C40" s="104" t="s">
        <v>142</v>
      </c>
      <c r="D40" s="104" t="s">
        <v>34</v>
      </c>
      <c r="E40" s="104" t="s">
        <v>143</v>
      </c>
      <c r="F40" s="104">
        <v>10.180821917808219</v>
      </c>
      <c r="G40" s="104">
        <v>-3</v>
      </c>
      <c r="H40" s="105">
        <v>7.3</v>
      </c>
      <c r="I40" s="105">
        <v>9.3</v>
      </c>
      <c r="J40" s="105">
        <v>10.7</v>
      </c>
      <c r="K40" s="105">
        <v>12.4</v>
      </c>
      <c r="L40" s="108">
        <v>15.2</v>
      </c>
      <c r="M40" s="105">
        <v>19.3</v>
      </c>
      <c r="N40" s="105">
        <v>21.9</v>
      </c>
      <c r="O40" s="105">
        <v>21.7</v>
      </c>
      <c r="P40" s="105">
        <v>19.8</v>
      </c>
      <c r="Q40" s="105">
        <v>15</v>
      </c>
      <c r="R40" s="105">
        <v>10.6</v>
      </c>
      <c r="S40" s="105">
        <v>8.2</v>
      </c>
      <c r="T40" s="98">
        <f t="shared" si="1"/>
        <v>14.31068493150685</v>
      </c>
    </row>
    <row r="41" spans="1:20" ht="19.5" customHeight="1">
      <c r="A41" s="96">
        <v>38</v>
      </c>
      <c r="B41" s="97" t="s">
        <v>178</v>
      </c>
      <c r="C41" s="104" t="s">
        <v>142</v>
      </c>
      <c r="D41" s="104" t="s">
        <v>35</v>
      </c>
      <c r="E41" s="104" t="s">
        <v>171</v>
      </c>
      <c r="F41" s="104">
        <v>9.265753424657534</v>
      </c>
      <c r="G41" s="104">
        <v>-6</v>
      </c>
      <c r="H41" s="105">
        <v>4.1</v>
      </c>
      <c r="I41" s="105">
        <v>5.6</v>
      </c>
      <c r="J41" s="105">
        <v>7.5</v>
      </c>
      <c r="K41" s="105">
        <v>9.4</v>
      </c>
      <c r="L41" s="108">
        <v>13</v>
      </c>
      <c r="M41" s="105">
        <v>17.2</v>
      </c>
      <c r="N41" s="105">
        <v>20.7</v>
      </c>
      <c r="O41" s="105">
        <v>20.3</v>
      </c>
      <c r="P41" s="105">
        <v>17.9</v>
      </c>
      <c r="Q41" s="105">
        <v>13</v>
      </c>
      <c r="R41" s="105">
        <v>7.6</v>
      </c>
      <c r="S41" s="105">
        <v>4.4</v>
      </c>
      <c r="T41" s="98">
        <f t="shared" si="1"/>
        <v>11.761095890410957</v>
      </c>
    </row>
    <row r="42" spans="1:20" ht="19.5" customHeight="1">
      <c r="A42" s="96">
        <v>39</v>
      </c>
      <c r="B42" s="97" t="s">
        <v>179</v>
      </c>
      <c r="C42" s="104" t="s">
        <v>144</v>
      </c>
      <c r="D42" s="104" t="s">
        <v>34</v>
      </c>
      <c r="E42" s="104" t="s">
        <v>145</v>
      </c>
      <c r="F42" s="104">
        <v>12.265753424657534</v>
      </c>
      <c r="G42" s="104">
        <v>0</v>
      </c>
      <c r="H42" s="105">
        <v>9.9</v>
      </c>
      <c r="I42" s="105">
        <v>10.7</v>
      </c>
      <c r="J42" s="105">
        <v>11.9</v>
      </c>
      <c r="K42" s="105">
        <v>13.6</v>
      </c>
      <c r="L42" s="108">
        <v>15.4</v>
      </c>
      <c r="M42" s="105">
        <v>18.8</v>
      </c>
      <c r="N42" s="105">
        <v>20.7</v>
      </c>
      <c r="O42" s="105">
        <v>20.5</v>
      </c>
      <c r="P42" s="105">
        <v>19.1</v>
      </c>
      <c r="Q42" s="105">
        <v>16.1</v>
      </c>
      <c r="R42" s="105">
        <v>12.6</v>
      </c>
      <c r="S42" s="105">
        <v>10.3</v>
      </c>
      <c r="T42" s="98">
        <f t="shared" si="1"/>
        <v>14.990136986301371</v>
      </c>
    </row>
    <row r="43" spans="1:20" ht="19.5" customHeight="1">
      <c r="A43" s="96">
        <v>40</v>
      </c>
      <c r="B43" s="97" t="s">
        <v>180</v>
      </c>
      <c r="C43" s="106" t="s">
        <v>157</v>
      </c>
      <c r="D43" s="106" t="s">
        <v>35</v>
      </c>
      <c r="E43" s="106" t="s">
        <v>164</v>
      </c>
      <c r="F43" s="106">
        <v>9.265753424657534</v>
      </c>
      <c r="G43" s="106">
        <v>-5</v>
      </c>
      <c r="H43" s="107">
        <v>3.7</v>
      </c>
      <c r="I43" s="107">
        <v>5.3</v>
      </c>
      <c r="J43" s="107">
        <v>7.3</v>
      </c>
      <c r="K43" s="107">
        <v>9.6</v>
      </c>
      <c r="L43" s="109">
        <v>13.4</v>
      </c>
      <c r="M43" s="107">
        <v>17.8</v>
      </c>
      <c r="N43" s="107">
        <v>21</v>
      </c>
      <c r="O43" s="107">
        <v>20.3</v>
      </c>
      <c r="P43" s="107">
        <v>17.5</v>
      </c>
      <c r="Q43" s="107">
        <v>12.3</v>
      </c>
      <c r="R43" s="107">
        <v>7</v>
      </c>
      <c r="S43" s="107">
        <v>4.1</v>
      </c>
      <c r="T43" s="98">
        <f t="shared" si="1"/>
        <v>11.645205479452057</v>
      </c>
    </row>
    <row r="44" spans="1:20" ht="19.5" customHeight="1">
      <c r="A44" s="96">
        <v>41</v>
      </c>
      <c r="B44" s="97" t="s">
        <v>181</v>
      </c>
      <c r="C44" s="104" t="s">
        <v>157</v>
      </c>
      <c r="D44" s="104" t="s">
        <v>35</v>
      </c>
      <c r="E44" s="104" t="s">
        <v>164</v>
      </c>
      <c r="F44" s="104">
        <v>8.265753424657534</v>
      </c>
      <c r="G44" s="104">
        <v>-6</v>
      </c>
      <c r="H44" s="105">
        <v>4.1</v>
      </c>
      <c r="I44" s="105">
        <v>5.2</v>
      </c>
      <c r="J44" s="105">
        <v>7.1</v>
      </c>
      <c r="K44" s="105">
        <v>9.1</v>
      </c>
      <c r="L44" s="108">
        <v>13.1</v>
      </c>
      <c r="M44" s="105">
        <v>17.7</v>
      </c>
      <c r="N44" s="105">
        <v>21.6</v>
      </c>
      <c r="O44" s="105">
        <v>21.2</v>
      </c>
      <c r="P44" s="105">
        <v>17.9</v>
      </c>
      <c r="Q44" s="105">
        <v>12.6</v>
      </c>
      <c r="R44" s="105">
        <v>7.3</v>
      </c>
      <c r="S44" s="105">
        <v>4.3</v>
      </c>
      <c r="T44" s="98">
        <f t="shared" si="1"/>
        <v>11.807123287671232</v>
      </c>
    </row>
    <row r="45" spans="1:20" ht="19.5" customHeight="1">
      <c r="A45" s="96">
        <v>42</v>
      </c>
      <c r="B45" s="97" t="s">
        <v>182</v>
      </c>
      <c r="C45" s="106" t="s">
        <v>130</v>
      </c>
      <c r="D45" s="106" t="s">
        <v>33</v>
      </c>
      <c r="E45" s="106" t="s">
        <v>133</v>
      </c>
      <c r="F45" s="106">
        <v>12.265753424657534</v>
      </c>
      <c r="G45" s="106">
        <v>1.5</v>
      </c>
      <c r="H45" s="107">
        <v>10.6</v>
      </c>
      <c r="I45" s="107">
        <v>11.9</v>
      </c>
      <c r="J45" s="107">
        <v>14</v>
      </c>
      <c r="K45" s="107">
        <v>16</v>
      </c>
      <c r="L45" s="107">
        <v>19.6</v>
      </c>
      <c r="M45" s="107">
        <v>23.4</v>
      </c>
      <c r="N45" s="107">
        <v>26.9</v>
      </c>
      <c r="O45" s="107">
        <v>26.8</v>
      </c>
      <c r="P45" s="107">
        <v>24.4</v>
      </c>
      <c r="Q45" s="107">
        <v>19.5</v>
      </c>
      <c r="R45" s="107">
        <v>14.3</v>
      </c>
      <c r="S45" s="107">
        <v>11.1</v>
      </c>
      <c r="T45" s="98">
        <f t="shared" si="1"/>
        <v>18.245753424657536</v>
      </c>
    </row>
    <row r="46" spans="1:20" ht="19.5" customHeight="1">
      <c r="A46" s="96">
        <v>43</v>
      </c>
      <c r="B46" s="97" t="s">
        <v>183</v>
      </c>
      <c r="C46" s="104" t="s">
        <v>157</v>
      </c>
      <c r="D46" s="104" t="s">
        <v>36</v>
      </c>
      <c r="E46" s="104" t="s">
        <v>138</v>
      </c>
      <c r="F46" s="104">
        <v>8.265753424657534</v>
      </c>
      <c r="G46" s="104">
        <v>-7</v>
      </c>
      <c r="H46" s="105">
        <v>2.9</v>
      </c>
      <c r="I46" s="105">
        <v>4</v>
      </c>
      <c r="J46" s="105">
        <v>5.8</v>
      </c>
      <c r="K46" s="105">
        <v>8</v>
      </c>
      <c r="L46" s="105">
        <v>11.7</v>
      </c>
      <c r="M46" s="105">
        <v>16.1</v>
      </c>
      <c r="N46" s="105">
        <v>19.9</v>
      </c>
      <c r="O46" s="105">
        <v>19.5</v>
      </c>
      <c r="P46" s="105">
        <v>16.5</v>
      </c>
      <c r="Q46" s="105">
        <v>11.3</v>
      </c>
      <c r="R46" s="105">
        <v>6.2</v>
      </c>
      <c r="S46" s="105">
        <v>3.4</v>
      </c>
      <c r="T46" s="98">
        <f t="shared" si="1"/>
        <v>10.48082191780822</v>
      </c>
    </row>
    <row r="47" spans="1:20" ht="19.5" customHeight="1">
      <c r="A47" s="96">
        <v>44</v>
      </c>
      <c r="B47" s="97" t="s">
        <v>184</v>
      </c>
      <c r="C47" s="106" t="s">
        <v>157</v>
      </c>
      <c r="D47" s="106" t="s">
        <v>33</v>
      </c>
      <c r="E47" s="106" t="s">
        <v>151</v>
      </c>
      <c r="F47" s="106">
        <v>10.265753424657534</v>
      </c>
      <c r="G47" s="106">
        <v>1</v>
      </c>
      <c r="H47" s="107">
        <v>10</v>
      </c>
      <c r="I47" s="107">
        <v>11.3</v>
      </c>
      <c r="J47" s="107">
        <v>13.1</v>
      </c>
      <c r="K47" s="107">
        <v>15.3</v>
      </c>
      <c r="L47" s="107">
        <v>18.4</v>
      </c>
      <c r="M47" s="107">
        <v>22.2</v>
      </c>
      <c r="N47" s="107">
        <v>25.3</v>
      </c>
      <c r="O47" s="109">
        <v>25.3</v>
      </c>
      <c r="P47" s="107">
        <v>22.7</v>
      </c>
      <c r="Q47" s="107">
        <v>18.4</v>
      </c>
      <c r="R47" s="107">
        <v>13.5</v>
      </c>
      <c r="S47" s="107">
        <v>10.7</v>
      </c>
      <c r="T47" s="98">
        <f t="shared" si="1"/>
        <v>17.21808219178082</v>
      </c>
    </row>
    <row r="48" spans="1:20" ht="19.5" customHeight="1">
      <c r="A48" s="96">
        <v>45</v>
      </c>
      <c r="B48" s="97" t="s">
        <v>185</v>
      </c>
      <c r="C48" s="106" t="s">
        <v>157</v>
      </c>
      <c r="D48" s="106" t="s">
        <v>35</v>
      </c>
      <c r="E48" s="106" t="s">
        <v>164</v>
      </c>
      <c r="F48" s="106">
        <v>8.265753424657534</v>
      </c>
      <c r="G48" s="106">
        <v>-6.1</v>
      </c>
      <c r="H48" s="107">
        <v>3.8</v>
      </c>
      <c r="I48" s="107">
        <v>4.8</v>
      </c>
      <c r="J48" s="107">
        <v>6.8</v>
      </c>
      <c r="K48" s="107">
        <v>9.3</v>
      </c>
      <c r="L48" s="107">
        <v>12.6</v>
      </c>
      <c r="M48" s="107">
        <v>17.5</v>
      </c>
      <c r="N48" s="107">
        <v>21.3</v>
      </c>
      <c r="O48" s="109">
        <v>20.6</v>
      </c>
      <c r="P48" s="107">
        <v>17.9</v>
      </c>
      <c r="Q48" s="107">
        <v>12.1</v>
      </c>
      <c r="R48" s="107">
        <v>7</v>
      </c>
      <c r="S48" s="107">
        <v>4.5</v>
      </c>
      <c r="T48" s="98">
        <f t="shared" si="1"/>
        <v>11.556438356164385</v>
      </c>
    </row>
    <row r="49" spans="1:20" ht="19.5" customHeight="1">
      <c r="A49" s="96">
        <v>46</v>
      </c>
      <c r="B49" s="97" t="s">
        <v>186</v>
      </c>
      <c r="C49" s="104" t="s">
        <v>137</v>
      </c>
      <c r="D49" s="104" t="s">
        <v>34</v>
      </c>
      <c r="E49" s="104" t="s">
        <v>140</v>
      </c>
      <c r="F49" s="104">
        <v>10.265753424657534</v>
      </c>
      <c r="G49" s="104">
        <v>-4</v>
      </c>
      <c r="H49" s="105">
        <v>6.1</v>
      </c>
      <c r="I49" s="105">
        <v>8.1</v>
      </c>
      <c r="J49" s="105">
        <v>10.9</v>
      </c>
      <c r="K49" s="105">
        <v>12.7</v>
      </c>
      <c r="L49" s="105">
        <v>16.8</v>
      </c>
      <c r="M49" s="105">
        <v>22.5</v>
      </c>
      <c r="N49" s="105">
        <v>26.5</v>
      </c>
      <c r="O49" s="108">
        <v>25.7</v>
      </c>
      <c r="P49" s="105">
        <v>22.6</v>
      </c>
      <c r="Q49" s="105">
        <v>16.2</v>
      </c>
      <c r="R49" s="105">
        <v>10.7</v>
      </c>
      <c r="S49" s="105">
        <v>7.1</v>
      </c>
      <c r="T49" s="98">
        <f t="shared" si="1"/>
        <v>15.534520547945204</v>
      </c>
    </row>
    <row r="50" spans="1:20" ht="19.5" customHeight="1">
      <c r="A50" s="96">
        <v>47</v>
      </c>
      <c r="B50" s="97" t="s">
        <v>187</v>
      </c>
      <c r="C50" s="106" t="s">
        <v>137</v>
      </c>
      <c r="D50" s="106" t="s">
        <v>33</v>
      </c>
      <c r="E50" s="106" t="s">
        <v>151</v>
      </c>
      <c r="F50" s="106">
        <v>12.265753424657534</v>
      </c>
      <c r="G50" s="106">
        <v>1</v>
      </c>
      <c r="H50" s="107">
        <v>10.4</v>
      </c>
      <c r="I50" s="107">
        <v>11.4</v>
      </c>
      <c r="J50" s="107">
        <v>12.6</v>
      </c>
      <c r="K50" s="107">
        <v>14.5</v>
      </c>
      <c r="L50" s="107">
        <v>17.4</v>
      </c>
      <c r="M50" s="107">
        <v>21.1</v>
      </c>
      <c r="N50" s="107">
        <v>24</v>
      </c>
      <c r="O50" s="107">
        <v>24.5</v>
      </c>
      <c r="P50" s="107">
        <v>22.3</v>
      </c>
      <c r="Q50" s="107">
        <v>18.3</v>
      </c>
      <c r="R50" s="107">
        <v>13.7</v>
      </c>
      <c r="S50" s="107">
        <v>10.9</v>
      </c>
      <c r="T50" s="98">
        <f t="shared" si="1"/>
        <v>16.789863013698632</v>
      </c>
    </row>
    <row r="51" spans="1:20" ht="19.5" customHeight="1">
      <c r="A51" s="96">
        <v>48</v>
      </c>
      <c r="B51" s="97" t="s">
        <v>188</v>
      </c>
      <c r="C51" s="104" t="s">
        <v>142</v>
      </c>
      <c r="D51" s="104" t="s">
        <v>35</v>
      </c>
      <c r="E51" s="104" t="s">
        <v>164</v>
      </c>
      <c r="F51" s="104">
        <v>9.265753424657534</v>
      </c>
      <c r="G51" s="104">
        <v>-4.4</v>
      </c>
      <c r="H51" s="105">
        <v>4.1</v>
      </c>
      <c r="I51" s="105">
        <v>6.1</v>
      </c>
      <c r="J51" s="105">
        <v>8.1</v>
      </c>
      <c r="K51" s="105">
        <v>9.9</v>
      </c>
      <c r="L51" s="105">
        <v>13.3</v>
      </c>
      <c r="M51" s="105">
        <v>18</v>
      </c>
      <c r="N51" s="105">
        <v>21.5</v>
      </c>
      <c r="O51" s="105">
        <v>21.3</v>
      </c>
      <c r="P51" s="105">
        <v>18.6</v>
      </c>
      <c r="Q51" s="105">
        <v>12.9</v>
      </c>
      <c r="R51" s="105">
        <v>7.7</v>
      </c>
      <c r="S51" s="105">
        <v>4.8</v>
      </c>
      <c r="T51" s="98">
        <f t="shared" si="1"/>
        <v>12.226849315068494</v>
      </c>
    </row>
    <row r="52" spans="1:20" ht="19.5" customHeight="1">
      <c r="A52" s="96">
        <v>49</v>
      </c>
      <c r="B52" s="97" t="s">
        <v>193</v>
      </c>
      <c r="C52" s="104" t="s">
        <v>144</v>
      </c>
      <c r="D52" s="104" t="s">
        <v>34</v>
      </c>
      <c r="E52" s="104" t="s">
        <v>145</v>
      </c>
      <c r="F52" s="104">
        <v>12.265753424657534</v>
      </c>
      <c r="G52" s="104">
        <v>0.3</v>
      </c>
      <c r="H52" s="105">
        <v>8.8</v>
      </c>
      <c r="I52" s="105">
        <v>9.6</v>
      </c>
      <c r="J52" s="105">
        <v>10.4</v>
      </c>
      <c r="K52" s="105">
        <v>11.8</v>
      </c>
      <c r="L52" s="105">
        <v>14.6</v>
      </c>
      <c r="M52" s="105">
        <v>17.3</v>
      </c>
      <c r="N52" s="105">
        <v>19.7</v>
      </c>
      <c r="O52" s="105">
        <v>19.9</v>
      </c>
      <c r="P52" s="105">
        <v>18.8</v>
      </c>
      <c r="Q52" s="105">
        <v>16</v>
      </c>
      <c r="R52" s="105">
        <v>11.8</v>
      </c>
      <c r="S52" s="105">
        <v>9.6</v>
      </c>
      <c r="T52" s="98">
        <f t="shared" si="1"/>
        <v>14.05150684931507</v>
      </c>
    </row>
    <row r="53" spans="1:20" ht="19.5" customHeight="1">
      <c r="A53" s="96">
        <v>50</v>
      </c>
      <c r="B53" s="97" t="s">
        <v>189</v>
      </c>
      <c r="C53" s="104" t="s">
        <v>157</v>
      </c>
      <c r="D53" s="104" t="s">
        <v>35</v>
      </c>
      <c r="E53" s="104" t="s">
        <v>164</v>
      </c>
      <c r="F53" s="104">
        <v>9.265753424657534</v>
      </c>
      <c r="G53" s="104">
        <v>-6</v>
      </c>
      <c r="H53" s="105">
        <v>4.3</v>
      </c>
      <c r="I53" s="105">
        <v>6.3</v>
      </c>
      <c r="J53" s="105">
        <v>8.3</v>
      </c>
      <c r="K53" s="105">
        <v>10.5</v>
      </c>
      <c r="L53" s="105">
        <v>14</v>
      </c>
      <c r="M53" s="105">
        <v>18.5</v>
      </c>
      <c r="N53" s="105">
        <v>21.8</v>
      </c>
      <c r="O53" s="105">
        <v>21.3</v>
      </c>
      <c r="P53" s="105">
        <v>18.7</v>
      </c>
      <c r="Q53" s="105">
        <v>13.4</v>
      </c>
      <c r="R53" s="105">
        <v>8.1</v>
      </c>
      <c r="S53" s="105">
        <v>4.9</v>
      </c>
      <c r="T53" s="98">
        <f t="shared" si="1"/>
        <v>12.543561643835615</v>
      </c>
    </row>
    <row r="54" spans="1:20" ht="19.5" customHeight="1">
      <c r="A54" s="96">
        <v>51</v>
      </c>
      <c r="B54" s="97" t="s">
        <v>190</v>
      </c>
      <c r="C54" s="106" t="s">
        <v>137</v>
      </c>
      <c r="D54" s="106" t="s">
        <v>35</v>
      </c>
      <c r="E54" s="106" t="s">
        <v>131</v>
      </c>
      <c r="F54" s="106">
        <v>12.265753424657534</v>
      </c>
      <c r="G54" s="106">
        <v>-2.3</v>
      </c>
      <c r="H54" s="107">
        <v>6.2</v>
      </c>
      <c r="I54" s="107">
        <v>8</v>
      </c>
      <c r="J54" s="107">
        <v>10.3</v>
      </c>
      <c r="K54" s="107">
        <v>12.8</v>
      </c>
      <c r="L54" s="107">
        <v>16.8</v>
      </c>
      <c r="M54" s="107">
        <v>21</v>
      </c>
      <c r="N54" s="107">
        <v>24.3</v>
      </c>
      <c r="O54" s="107">
        <v>23.8</v>
      </c>
      <c r="P54" s="107">
        <v>20.7</v>
      </c>
      <c r="Q54" s="107">
        <v>15.4</v>
      </c>
      <c r="R54" s="107">
        <v>9.7</v>
      </c>
      <c r="S54" s="107">
        <v>6.5</v>
      </c>
      <c r="T54" s="98">
        <f t="shared" si="1"/>
        <v>14.663835616438357</v>
      </c>
    </row>
    <row r="55" spans="1:20" ht="19.5" customHeight="1">
      <c r="A55" s="96"/>
      <c r="B55" s="219" t="s">
        <v>191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</row>
  </sheetData>
  <mergeCells count="7">
    <mergeCell ref="B55:T55"/>
    <mergeCell ref="H2:T2"/>
    <mergeCell ref="D2:D3"/>
    <mergeCell ref="G2:G3"/>
    <mergeCell ref="B2:B3"/>
    <mergeCell ref="C2:C3"/>
    <mergeCell ref="F2:F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cph017</cp:lastModifiedBy>
  <cp:lastPrinted>1999-03-09T10:21:44Z</cp:lastPrinted>
  <dcterms:created xsi:type="dcterms:W3CDTF">1999-03-09T10:36:52Z</dcterms:created>
  <dcterms:modified xsi:type="dcterms:W3CDTF">2009-06-17T10:04:25Z</dcterms:modified>
  <cp:category/>
  <cp:version/>
  <cp:contentType/>
  <cp:contentStatus/>
</cp:coreProperties>
</file>